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ERD\NFWF3_SandyMonitor\Socio_Econ_Data\Flood_damage\"/>
    </mc:Choice>
  </mc:AlternateContent>
  <bookViews>
    <workbookView xWindow="0" yWindow="0" windowWidth="20490" windowHeight="7755" tabRatio="808"/>
  </bookViews>
  <sheets>
    <sheet name="Readme" sheetId="15" r:id="rId1"/>
    <sheet name="EADExample" sheetId="7" r:id="rId2"/>
    <sheet name="ReportOut" sheetId="19" r:id="rId3"/>
    <sheet name="Metric5ByProject" sheetId="14" r:id="rId4"/>
    <sheet name="Metric9ByProject" sheetId="12" r:id="rId5"/>
    <sheet name="Damage" sheetId="10" r:id="rId6"/>
    <sheet name="Inputs" sheetId="8" r:id="rId7"/>
    <sheet name="Coastal_DDF" sheetId="1" r:id="rId8"/>
    <sheet name="Metric11" sheetId="17" r:id="rId9"/>
    <sheet name="Metric21" sheetId="22" r:id="rId10"/>
    <sheet name="Units" sheetId="5" r:id="rId11"/>
  </sheets>
  <definedNames>
    <definedName name="Btype">Units!$K$1:$L$36</definedName>
    <definedName name="CCI">Units!$H$2:$I$59</definedName>
    <definedName name="DDF">Coastal_DDF!$G$10:$AP$10</definedName>
    <definedName name="DDFID">Coastal_DDF!$D$11:$E$52</definedName>
    <definedName name="mft">Units!$B$5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9" l="1"/>
  <c r="J12" i="19"/>
  <c r="J13" i="19"/>
  <c r="J14" i="19"/>
  <c r="J15" i="19"/>
  <c r="J16" i="19"/>
  <c r="J17" i="19"/>
  <c r="J18" i="19"/>
  <c r="J19" i="19"/>
  <c r="J20" i="19"/>
  <c r="J21" i="19"/>
  <c r="J22" i="19"/>
  <c r="J24" i="19"/>
  <c r="J25" i="19"/>
  <c r="J26" i="19"/>
  <c r="J28" i="19"/>
  <c r="J29" i="19"/>
  <c r="J30" i="19"/>
  <c r="J31" i="19"/>
  <c r="J33" i="19"/>
  <c r="J34" i="19"/>
  <c r="J35" i="19"/>
  <c r="J36" i="19"/>
  <c r="J37" i="19"/>
  <c r="J38" i="19"/>
  <c r="J39" i="19"/>
  <c r="J40" i="19"/>
  <c r="J41" i="19"/>
  <c r="J42" i="19"/>
  <c r="J43" i="19"/>
  <c r="J44" i="19"/>
  <c r="J45" i="19"/>
  <c r="J46" i="19"/>
  <c r="J10" i="19"/>
  <c r="K11" i="19"/>
  <c r="K12" i="19"/>
  <c r="K13" i="19"/>
  <c r="K14" i="19"/>
  <c r="K15" i="19"/>
  <c r="K16" i="19"/>
  <c r="K17" i="19"/>
  <c r="K18" i="19"/>
  <c r="K19" i="19"/>
  <c r="K20" i="19"/>
  <c r="K21" i="19"/>
  <c r="K22" i="19"/>
  <c r="K24" i="19"/>
  <c r="K25" i="19"/>
  <c r="K26" i="19"/>
  <c r="K28" i="19"/>
  <c r="K29" i="19"/>
  <c r="K30" i="19"/>
  <c r="K31" i="19"/>
  <c r="K33" i="19"/>
  <c r="K34" i="19"/>
  <c r="K35" i="19"/>
  <c r="K36" i="19"/>
  <c r="K37" i="19"/>
  <c r="K38" i="19"/>
  <c r="K39" i="19"/>
  <c r="K40" i="19"/>
  <c r="K41" i="19"/>
  <c r="K42" i="19"/>
  <c r="K43" i="19"/>
  <c r="K44" i="19"/>
  <c r="K45" i="19"/>
  <c r="K46" i="19"/>
  <c r="K10" i="19"/>
  <c r="Q90" i="8" l="1"/>
  <c r="AA90" i="8" s="1"/>
  <c r="U90" i="8" s="1"/>
  <c r="AA89" i="8"/>
  <c r="U89" i="8" s="1"/>
  <c r="Q89" i="8"/>
  <c r="U88" i="8"/>
  <c r="Q88" i="8"/>
  <c r="U87" i="8"/>
  <c r="Q87" i="8"/>
  <c r="U86" i="8"/>
  <c r="Q86" i="8"/>
  <c r="Q85" i="8"/>
  <c r="AA85" i="8" s="1"/>
  <c r="U85" i="8" s="1"/>
  <c r="U84" i="8"/>
  <c r="Q84" i="8"/>
  <c r="U83" i="8"/>
  <c r="Q83" i="8"/>
  <c r="U82" i="8"/>
  <c r="Q82" i="8"/>
  <c r="U81" i="8"/>
  <c r="Q81" i="8"/>
  <c r="Q80" i="8"/>
  <c r="AA80" i="8" s="1"/>
  <c r="U80" i="8" s="1"/>
  <c r="U79" i="8"/>
  <c r="Q79" i="8"/>
  <c r="U78" i="8"/>
  <c r="Q78" i="8"/>
  <c r="U77" i="8"/>
  <c r="Q77" i="8"/>
  <c r="U76" i="8"/>
  <c r="Q76" i="8"/>
  <c r="U75" i="8"/>
  <c r="Q75" i="8"/>
  <c r="AA74" i="8"/>
  <c r="U74" i="8" s="1"/>
  <c r="Q74" i="8"/>
  <c r="U73" i="8"/>
  <c r="Q73" i="8"/>
  <c r="U72" i="8"/>
  <c r="Q72" i="8"/>
  <c r="U71" i="8"/>
  <c r="Q71" i="8"/>
  <c r="U70" i="8"/>
  <c r="Q70" i="8"/>
  <c r="U11" i="19" l="1"/>
  <c r="V11" i="19"/>
  <c r="U12" i="19"/>
  <c r="V12" i="19"/>
  <c r="U13" i="19"/>
  <c r="V13" i="19"/>
  <c r="U14" i="19"/>
  <c r="V14" i="19"/>
  <c r="U15" i="19"/>
  <c r="V15" i="19"/>
  <c r="U16" i="19"/>
  <c r="V16" i="19"/>
  <c r="U17" i="19"/>
  <c r="V17" i="19"/>
  <c r="U18" i="19"/>
  <c r="V18" i="19"/>
  <c r="U19" i="19"/>
  <c r="V19" i="19"/>
  <c r="U20" i="19"/>
  <c r="V20" i="19"/>
  <c r="U21" i="19"/>
  <c r="V21" i="19"/>
  <c r="U24" i="19"/>
  <c r="V24" i="19"/>
  <c r="U25" i="19"/>
  <c r="V25" i="19"/>
  <c r="U26" i="19"/>
  <c r="V26" i="19"/>
  <c r="U27" i="19"/>
  <c r="U29" i="19"/>
  <c r="V29" i="19"/>
  <c r="U30" i="19"/>
  <c r="V30" i="19"/>
  <c r="U31" i="19"/>
  <c r="V31" i="19"/>
  <c r="U32" i="19"/>
  <c r="V32" i="19"/>
  <c r="U33" i="19"/>
  <c r="V33" i="19"/>
  <c r="U34" i="19"/>
  <c r="V34" i="19"/>
  <c r="U35" i="19"/>
  <c r="V35" i="19"/>
  <c r="U36" i="19"/>
  <c r="V36" i="19"/>
  <c r="U37" i="19"/>
  <c r="V37" i="19"/>
  <c r="U38" i="19"/>
  <c r="V38" i="19"/>
  <c r="U39" i="19"/>
  <c r="V39" i="19"/>
  <c r="U40" i="19"/>
  <c r="V40" i="19"/>
  <c r="U41" i="19"/>
  <c r="V41" i="19"/>
  <c r="U42" i="19"/>
  <c r="V42" i="19"/>
  <c r="U43" i="19"/>
  <c r="V43" i="19"/>
  <c r="U44" i="19"/>
  <c r="V44" i="19"/>
  <c r="U45" i="19"/>
  <c r="V45" i="19"/>
  <c r="U46" i="19"/>
  <c r="V46" i="19"/>
  <c r="V10" i="19"/>
  <c r="U10" i="19"/>
  <c r="S19" i="22"/>
  <c r="R19" i="22"/>
  <c r="Q19" i="22"/>
  <c r="P19" i="22"/>
  <c r="O19" i="22"/>
  <c r="J19" i="22"/>
  <c r="I19" i="22"/>
  <c r="H19" i="22"/>
  <c r="G19" i="22"/>
  <c r="F19" i="22"/>
  <c r="S18" i="22"/>
  <c r="R18" i="22"/>
  <c r="Q18" i="22"/>
  <c r="P18" i="22"/>
  <c r="T18" i="22" s="1"/>
  <c r="O18" i="22"/>
  <c r="J18" i="22"/>
  <c r="I18" i="22"/>
  <c r="H18" i="22"/>
  <c r="G18" i="22"/>
  <c r="F18" i="22"/>
  <c r="K18" i="22" s="1"/>
  <c r="S17" i="22"/>
  <c r="R17" i="22"/>
  <c r="Q17" i="22"/>
  <c r="P17" i="22"/>
  <c r="T17" i="22" s="1"/>
  <c r="O17" i="22"/>
  <c r="J17" i="22"/>
  <c r="I17" i="22"/>
  <c r="H17" i="22"/>
  <c r="G17" i="22"/>
  <c r="F17" i="22"/>
  <c r="S16" i="22"/>
  <c r="R16" i="22"/>
  <c r="Q16" i="22"/>
  <c r="P16" i="22"/>
  <c r="O16" i="22"/>
  <c r="J16" i="22"/>
  <c r="I16" i="22"/>
  <c r="H16" i="22"/>
  <c r="G16" i="22"/>
  <c r="F16" i="22"/>
  <c r="K16" i="22" s="1"/>
  <c r="P15" i="22"/>
  <c r="J15" i="22"/>
  <c r="I15" i="22"/>
  <c r="G15" i="22"/>
  <c r="H15" i="22"/>
  <c r="O13" i="22"/>
  <c r="F13" i="22"/>
  <c r="S12" i="22"/>
  <c r="R12" i="22"/>
  <c r="Q12" i="22"/>
  <c r="P12" i="22"/>
  <c r="O12" i="22"/>
  <c r="T12" i="22" s="1"/>
  <c r="V28" i="19" s="1"/>
  <c r="J12" i="22"/>
  <c r="I12" i="22"/>
  <c r="H12" i="22"/>
  <c r="G12" i="22"/>
  <c r="F12" i="22"/>
  <c r="S11" i="22"/>
  <c r="P11" i="22"/>
  <c r="O11" i="22"/>
  <c r="R11" i="22"/>
  <c r="G11" i="22"/>
  <c r="F11" i="22"/>
  <c r="H11" i="22"/>
  <c r="J11" i="22"/>
  <c r="T19" i="22" l="1"/>
  <c r="T16" i="22"/>
  <c r="K19" i="22"/>
  <c r="K17" i="22"/>
  <c r="K12" i="22"/>
  <c r="U28" i="19" s="1"/>
  <c r="F15" i="22"/>
  <c r="K15" i="22" s="1"/>
  <c r="I11" i="22"/>
  <c r="K11" i="22" s="1"/>
  <c r="Q11" i="22"/>
  <c r="T11" i="22" s="1"/>
  <c r="O15" i="22"/>
  <c r="Q15" i="22"/>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10" i="19"/>
  <c r="N19" i="17"/>
  <c r="O19" i="17"/>
  <c r="P19" i="17"/>
  <c r="Q19" i="17"/>
  <c r="S19" i="17" s="1"/>
  <c r="R19" i="17"/>
  <c r="E19" i="17"/>
  <c r="F19" i="17"/>
  <c r="G19" i="17"/>
  <c r="H19" i="17"/>
  <c r="J19" i="17" s="1"/>
  <c r="I19" i="17"/>
  <c r="N18" i="17"/>
  <c r="O18" i="17"/>
  <c r="P18" i="17"/>
  <c r="S18" i="17" s="1"/>
  <c r="Q18" i="17"/>
  <c r="R18" i="17"/>
  <c r="E18" i="17"/>
  <c r="F18" i="17"/>
  <c r="G18" i="17"/>
  <c r="H18" i="17"/>
  <c r="J18" i="17" s="1"/>
  <c r="I18" i="17"/>
  <c r="N16" i="17"/>
  <c r="O16" i="17"/>
  <c r="P16" i="17"/>
  <c r="S16" i="17" s="1"/>
  <c r="Q16" i="17"/>
  <c r="R16" i="17"/>
  <c r="N17" i="17"/>
  <c r="O17" i="17"/>
  <c r="P17" i="17"/>
  <c r="Q17" i="17"/>
  <c r="R17" i="17"/>
  <c r="S17" i="17"/>
  <c r="E16" i="17"/>
  <c r="F16" i="17"/>
  <c r="G16" i="17"/>
  <c r="H16" i="17"/>
  <c r="I16" i="17"/>
  <c r="E17" i="17"/>
  <c r="F17" i="17"/>
  <c r="G17" i="17"/>
  <c r="H17" i="17"/>
  <c r="I17" i="17"/>
  <c r="J17" i="17"/>
  <c r="J16" i="17" l="1"/>
  <c r="O19" i="14"/>
  <c r="P19" i="14"/>
  <c r="T19" i="14"/>
  <c r="Q19" i="14"/>
  <c r="R19" i="14"/>
  <c r="S19" i="14"/>
  <c r="F19" i="14"/>
  <c r="K19" i="14" s="1"/>
  <c r="G19" i="14"/>
  <c r="H19" i="14"/>
  <c r="I19" i="14"/>
  <c r="J19" i="14"/>
  <c r="O18" i="14"/>
  <c r="P18" i="14"/>
  <c r="Q18" i="14"/>
  <c r="R18" i="14"/>
  <c r="T18" i="14" s="1"/>
  <c r="S18" i="14"/>
  <c r="F18" i="14"/>
  <c r="G18" i="14"/>
  <c r="H18" i="14"/>
  <c r="I18" i="14"/>
  <c r="J18" i="14"/>
  <c r="K18" i="14"/>
  <c r="O17" i="14" l="1"/>
  <c r="P17" i="14"/>
  <c r="Q17" i="14"/>
  <c r="R17" i="14"/>
  <c r="S17" i="14"/>
  <c r="T17" i="14"/>
  <c r="F17" i="14"/>
  <c r="G17" i="14"/>
  <c r="H17" i="14"/>
  <c r="I17" i="14"/>
  <c r="J17" i="14"/>
  <c r="K17" i="14"/>
  <c r="D41" i="1" l="1"/>
  <c r="R41" i="1"/>
  <c r="U69" i="8"/>
  <c r="Q69" i="8"/>
  <c r="U68" i="8"/>
  <c r="Q68" i="8"/>
  <c r="U67" i="8"/>
  <c r="Q67" i="8"/>
  <c r="U66" i="8"/>
  <c r="Q66" i="8"/>
  <c r="U65" i="8"/>
  <c r="Q65" i="8"/>
  <c r="U64" i="8"/>
  <c r="Q64" i="8"/>
  <c r="AA63" i="8"/>
  <c r="U63" i="8"/>
  <c r="Q63" i="8"/>
  <c r="U62" i="8"/>
  <c r="Q62" i="8"/>
  <c r="AA62" i="8" s="1"/>
  <c r="U61" i="8"/>
  <c r="Q61" i="8"/>
  <c r="U60" i="8"/>
  <c r="Q60" i="8"/>
  <c r="U59" i="8"/>
  <c r="Q59" i="8"/>
  <c r="AC12" i="10" l="1"/>
  <c r="AC13" i="10"/>
  <c r="AC14" i="10"/>
  <c r="AC15" i="10"/>
  <c r="AC16" i="10"/>
  <c r="AC17" i="10"/>
  <c r="AC18" i="10"/>
  <c r="AC19" i="10"/>
  <c r="AC11" i="10"/>
  <c r="AC20" i="10"/>
  <c r="K11" i="10"/>
  <c r="K12" i="10"/>
  <c r="K13" i="10"/>
  <c r="K14" i="10"/>
  <c r="K15" i="10"/>
  <c r="K16" i="10"/>
  <c r="K17" i="10"/>
  <c r="K18" i="10"/>
  <c r="K19" i="10"/>
  <c r="O11" i="19" l="1"/>
  <c r="O12" i="19"/>
  <c r="O13" i="19"/>
  <c r="O14" i="19"/>
  <c r="O15" i="19"/>
  <c r="O16" i="19"/>
  <c r="O17" i="19"/>
  <c r="O18" i="19"/>
  <c r="O19" i="19"/>
  <c r="O25" i="19"/>
  <c r="O29" i="19"/>
  <c r="O30" i="19"/>
  <c r="O31" i="19"/>
  <c r="O33" i="19"/>
  <c r="O34" i="19"/>
  <c r="O35" i="19"/>
  <c r="O36" i="19"/>
  <c r="O37" i="19"/>
  <c r="O38" i="19"/>
  <c r="O39" i="19"/>
  <c r="O40" i="19"/>
  <c r="O41" i="19"/>
  <c r="O42" i="19"/>
  <c r="O43" i="19"/>
  <c r="O44" i="19"/>
  <c r="O45" i="19"/>
  <c r="O46" i="19"/>
  <c r="O10" i="19"/>
  <c r="N15" i="17" l="1"/>
  <c r="S15" i="17" s="1"/>
  <c r="O15" i="17"/>
  <c r="P15" i="17"/>
  <c r="Q15" i="17"/>
  <c r="R15" i="17"/>
  <c r="J15" i="17"/>
  <c r="E15" i="17"/>
  <c r="F15" i="17"/>
  <c r="G15" i="17"/>
  <c r="H15" i="17"/>
  <c r="I15" i="17"/>
  <c r="U11" i="10" l="1"/>
  <c r="U13" i="10"/>
  <c r="U16" i="10"/>
  <c r="U17" i="10"/>
  <c r="U18" i="10"/>
  <c r="U14" i="10"/>
  <c r="S42" i="1" l="1"/>
  <c r="T42" i="1"/>
  <c r="U42" i="1"/>
  <c r="W42" i="1"/>
  <c r="Y42" i="1"/>
  <c r="R40" i="1" l="1"/>
  <c r="D40" i="1"/>
  <c r="Z28" i="10"/>
  <c r="AB28" i="10" s="1"/>
  <c r="N13" i="17" l="1"/>
  <c r="O13" i="17"/>
  <c r="P13" i="17"/>
  <c r="Q13" i="17"/>
  <c r="S13" i="17" s="1"/>
  <c r="R13" i="17"/>
  <c r="E13" i="17"/>
  <c r="F13" i="17"/>
  <c r="G13" i="17"/>
  <c r="H13" i="17"/>
  <c r="I13" i="17"/>
  <c r="N11" i="17"/>
  <c r="R12" i="17"/>
  <c r="Q12" i="17"/>
  <c r="P12" i="17"/>
  <c r="O12" i="17"/>
  <c r="N12" i="17"/>
  <c r="R11" i="17"/>
  <c r="Q11" i="17"/>
  <c r="P11" i="17"/>
  <c r="O11" i="17"/>
  <c r="E12" i="17"/>
  <c r="F12" i="17"/>
  <c r="G12" i="17"/>
  <c r="H12" i="17"/>
  <c r="I12" i="17"/>
  <c r="J12" i="17"/>
  <c r="I11" i="17"/>
  <c r="H11" i="17"/>
  <c r="G11" i="17"/>
  <c r="F11" i="17"/>
  <c r="E11" i="17"/>
  <c r="J11" i="17" s="1"/>
  <c r="J13" i="17" l="1"/>
  <c r="S11" i="17"/>
  <c r="S12" i="17"/>
  <c r="R39" i="1"/>
  <c r="R38" i="1"/>
  <c r="D39" i="1"/>
  <c r="D38" i="1"/>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1" i="10"/>
  <c r="D19" i="1"/>
  <c r="D20" i="1"/>
  <c r="D21" i="1"/>
  <c r="D22" i="1"/>
  <c r="D23" i="1"/>
  <c r="D24" i="1"/>
  <c r="D25" i="1"/>
  <c r="D26" i="1"/>
  <c r="D27" i="1"/>
  <c r="D28" i="1"/>
  <c r="D29" i="1"/>
  <c r="D30" i="1"/>
  <c r="D31" i="1"/>
  <c r="D32" i="1"/>
  <c r="D33" i="1"/>
  <c r="D34" i="1"/>
  <c r="D35" i="1"/>
  <c r="D36" i="1"/>
  <c r="D37" i="1"/>
  <c r="D42" i="1"/>
  <c r="D18" i="1"/>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7" i="10"/>
  <c r="X78" i="10"/>
  <c r="X79" i="10"/>
  <c r="X80" i="10"/>
  <c r="X81" i="10"/>
  <c r="X82" i="10"/>
  <c r="X83" i="10"/>
  <c r="X84" i="10"/>
  <c r="X85" i="10"/>
  <c r="X86" i="10"/>
  <c r="X87" i="10"/>
  <c r="X88" i="10"/>
  <c r="X89" i="10"/>
  <c r="X90" i="10"/>
  <c r="X91" i="10"/>
  <c r="X92" i="10"/>
  <c r="X93" i="10"/>
  <c r="X94" i="10"/>
  <c r="X95" i="10"/>
  <c r="X96" i="10"/>
  <c r="X97" i="10"/>
  <c r="X98" i="10"/>
  <c r="X99" i="10"/>
  <c r="X100" i="10"/>
  <c r="X11" i="10"/>
  <c r="Z11" i="10"/>
  <c r="AB11" i="10" s="1"/>
  <c r="Z12" i="10"/>
  <c r="AB12" i="10" s="1"/>
  <c r="Z13" i="10"/>
  <c r="AB13" i="10" s="1"/>
  <c r="Z14" i="10"/>
  <c r="AB14" i="10" s="1"/>
  <c r="Z15" i="10"/>
  <c r="AB15" i="10" s="1"/>
  <c r="Z16" i="10"/>
  <c r="AB16" i="10" s="1"/>
  <c r="Z17" i="10"/>
  <c r="AB17" i="10" s="1"/>
  <c r="Z18" i="10"/>
  <c r="AB18" i="10" s="1"/>
  <c r="Z19" i="10"/>
  <c r="AB19" i="10" s="1"/>
  <c r="Z20" i="10"/>
  <c r="AB20" i="10" s="1"/>
  <c r="Z21" i="10"/>
  <c r="AB21" i="10" s="1"/>
  <c r="Z22" i="10"/>
  <c r="AB22" i="10" s="1"/>
  <c r="Z23" i="10"/>
  <c r="AB23" i="10" s="1"/>
  <c r="Z24" i="10"/>
  <c r="AB24" i="10" s="1"/>
  <c r="Z25" i="10"/>
  <c r="AB25" i="10" s="1"/>
  <c r="Z26" i="10"/>
  <c r="AB26" i="10" s="1"/>
  <c r="Z27" i="10"/>
  <c r="AB27" i="10" s="1"/>
  <c r="Z29" i="10"/>
  <c r="AB29" i="10" s="1"/>
  <c r="Z30" i="10"/>
  <c r="AB30" i="10" s="1"/>
  <c r="Z31" i="10"/>
  <c r="AB31" i="10" s="1"/>
  <c r="Z32" i="10"/>
  <c r="AB32" i="10" s="1"/>
  <c r="Z33" i="10"/>
  <c r="AB33" i="10" s="1"/>
  <c r="Z34" i="10"/>
  <c r="AB34" i="10" s="1"/>
  <c r="Z35" i="10"/>
  <c r="AB35" i="10" s="1"/>
  <c r="Z36" i="10"/>
  <c r="AB36" i="10" s="1"/>
  <c r="Z37" i="10"/>
  <c r="AB37" i="10" s="1"/>
  <c r="Z38" i="10"/>
  <c r="AB38" i="10" s="1"/>
  <c r="Z39" i="10"/>
  <c r="AB39" i="10" s="1"/>
  <c r="Z40" i="10"/>
  <c r="AB40" i="10" s="1"/>
  <c r="Z41" i="10"/>
  <c r="AB41" i="10" s="1"/>
  <c r="Z42" i="10"/>
  <c r="AB42" i="10" s="1"/>
  <c r="Z43" i="10"/>
  <c r="AB43" i="10" s="1"/>
  <c r="Z44" i="10"/>
  <c r="AB44" i="10" s="1"/>
  <c r="Z45" i="10"/>
  <c r="AB45" i="10" s="1"/>
  <c r="Z46" i="10"/>
  <c r="AB46" i="10" s="1"/>
  <c r="Z47" i="10"/>
  <c r="AB47" i="10" s="1"/>
  <c r="Z48" i="10"/>
  <c r="AB48" i="10" s="1"/>
  <c r="Z49" i="10"/>
  <c r="AB49" i="10" s="1"/>
  <c r="Z50" i="10"/>
  <c r="AB50" i="10" s="1"/>
  <c r="Z51" i="10"/>
  <c r="AB51" i="10" s="1"/>
  <c r="Z52" i="10"/>
  <c r="AB52" i="10" s="1"/>
  <c r="Z53" i="10"/>
  <c r="AB53" i="10" s="1"/>
  <c r="Z54" i="10"/>
  <c r="AB54" i="10" s="1"/>
  <c r="Z55" i="10"/>
  <c r="AB55" i="10" s="1"/>
  <c r="Z56" i="10"/>
  <c r="AB56" i="10" s="1"/>
  <c r="Z57" i="10"/>
  <c r="AB57" i="10" s="1"/>
  <c r="Z58" i="10"/>
  <c r="AB58" i="10" s="1"/>
  <c r="Z59" i="10"/>
  <c r="AB59" i="10" s="1"/>
  <c r="Z60" i="10"/>
  <c r="AB60" i="10" s="1"/>
  <c r="Z61" i="10"/>
  <c r="AB61" i="10" s="1"/>
  <c r="Z62" i="10"/>
  <c r="AB62" i="10" s="1"/>
  <c r="Z63" i="10"/>
  <c r="AB63" i="10" s="1"/>
  <c r="Z64" i="10"/>
  <c r="AB64" i="10" s="1"/>
  <c r="Z65" i="10"/>
  <c r="AB65" i="10" s="1"/>
  <c r="Z66" i="10"/>
  <c r="AB66" i="10" s="1"/>
  <c r="Z67" i="10"/>
  <c r="AB67" i="10" s="1"/>
  <c r="Z68" i="10"/>
  <c r="AB68" i="10" s="1"/>
  <c r="Z69" i="10"/>
  <c r="AB69" i="10" s="1"/>
  <c r="Z70" i="10"/>
  <c r="AB70" i="10" s="1"/>
  <c r="Z71" i="10"/>
  <c r="AB71" i="10" s="1"/>
  <c r="Z72" i="10"/>
  <c r="AB72" i="10" s="1"/>
  <c r="Z73" i="10"/>
  <c r="AB73" i="10" s="1"/>
  <c r="Z74" i="10"/>
  <c r="AB74" i="10" s="1"/>
  <c r="Z75" i="10"/>
  <c r="AB75" i="10" s="1"/>
  <c r="Z76" i="10"/>
  <c r="AB76" i="10" s="1"/>
  <c r="Z77" i="10"/>
  <c r="AB77" i="10" s="1"/>
  <c r="Z78" i="10"/>
  <c r="AB78" i="10" s="1"/>
  <c r="Z79" i="10"/>
  <c r="AB79" i="10" s="1"/>
  <c r="Z80" i="10"/>
  <c r="AB80" i="10" s="1"/>
  <c r="Z81" i="10"/>
  <c r="AB81" i="10" s="1"/>
  <c r="Z82" i="10"/>
  <c r="AB82" i="10" s="1"/>
  <c r="Z83" i="10"/>
  <c r="AB83" i="10" s="1"/>
  <c r="Z84" i="10"/>
  <c r="AB84" i="10" s="1"/>
  <c r="Z85" i="10"/>
  <c r="AB85" i="10" s="1"/>
  <c r="Z86" i="10"/>
  <c r="AB86" i="10" s="1"/>
  <c r="Z87" i="10"/>
  <c r="AB87" i="10" s="1"/>
  <c r="Z88" i="10"/>
  <c r="AB88" i="10" s="1"/>
  <c r="Z89" i="10"/>
  <c r="AB89" i="10" s="1"/>
  <c r="Z90" i="10"/>
  <c r="AB90" i="10" s="1"/>
  <c r="Z91" i="10"/>
  <c r="AB91" i="10" s="1"/>
  <c r="Z92" i="10"/>
  <c r="AB92" i="10" s="1"/>
  <c r="Z93" i="10"/>
  <c r="AB93" i="10" s="1"/>
  <c r="Z94" i="10"/>
  <c r="AB94" i="10" s="1"/>
  <c r="Z95" i="10"/>
  <c r="AB95" i="10" s="1"/>
  <c r="Z96" i="10"/>
  <c r="AB96" i="10" s="1"/>
  <c r="Z97" i="10"/>
  <c r="AB97" i="10" s="1"/>
  <c r="Z98" i="10"/>
  <c r="AB98" i="10" s="1"/>
  <c r="Z99" i="10"/>
  <c r="AB99" i="10" s="1"/>
  <c r="Z100" i="10"/>
  <c r="AB100" i="10" s="1"/>
  <c r="R36" i="1"/>
  <c r="R37" i="1"/>
  <c r="R35" i="1"/>
  <c r="R34" i="1"/>
  <c r="R33" i="1"/>
  <c r="R32" i="1"/>
  <c r="R31" i="1"/>
  <c r="R30" i="1"/>
  <c r="R29" i="1"/>
  <c r="R28" i="1"/>
  <c r="R27" i="1"/>
  <c r="R18" i="1"/>
  <c r="R26" i="1"/>
  <c r="R25" i="1"/>
  <c r="R24" i="1"/>
  <c r="R23" i="1"/>
  <c r="R20" i="1"/>
  <c r="R21" i="1"/>
  <c r="R22" i="1"/>
  <c r="R19" i="1"/>
  <c r="R42" i="1" l="1"/>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K70" i="10"/>
  <c r="AL70" i="10" s="1"/>
  <c r="AK71" i="10"/>
  <c r="AL71" i="10" s="1"/>
  <c r="AK72" i="10"/>
  <c r="AL72" i="10" s="1"/>
  <c r="AK73" i="10"/>
  <c r="AL73" i="10" s="1"/>
  <c r="AK74" i="10"/>
  <c r="AL74" i="10" s="1"/>
  <c r="AK75" i="10"/>
  <c r="AL75" i="10" s="1"/>
  <c r="AK76" i="10"/>
  <c r="AL76" i="10" s="1"/>
  <c r="AK77" i="10"/>
  <c r="AL77" i="10" s="1"/>
  <c r="AK78" i="10"/>
  <c r="AL78" i="10" s="1"/>
  <c r="AK79" i="10"/>
  <c r="AL79" i="10" s="1"/>
  <c r="AK80" i="10"/>
  <c r="AL80" i="10" s="1"/>
  <c r="AK81" i="10"/>
  <c r="AL81" i="10" s="1"/>
  <c r="AK82" i="10"/>
  <c r="AL82" i="10" s="1"/>
  <c r="AK83" i="10"/>
  <c r="AL83" i="10" s="1"/>
  <c r="AK84" i="10"/>
  <c r="AL84" i="10" s="1"/>
  <c r="AK85" i="10"/>
  <c r="AL85" i="10" s="1"/>
  <c r="AK86" i="10"/>
  <c r="AL86" i="10" s="1"/>
  <c r="AK87" i="10"/>
  <c r="AL87" i="10" s="1"/>
  <c r="AK88" i="10"/>
  <c r="AL88" i="10" s="1"/>
  <c r="AK89" i="10"/>
  <c r="AL89" i="10" s="1"/>
  <c r="AK90" i="10"/>
  <c r="AL90" i="10" s="1"/>
  <c r="AK91" i="10"/>
  <c r="AL91" i="10" s="1"/>
  <c r="AK92" i="10"/>
  <c r="AL92" i="10" s="1"/>
  <c r="AK93" i="10"/>
  <c r="AL93" i="10" s="1"/>
  <c r="AK94" i="10"/>
  <c r="AL94" i="10" s="1"/>
  <c r="AK95" i="10"/>
  <c r="AL95" i="10" s="1"/>
  <c r="AK96" i="10"/>
  <c r="AL96" i="10" s="1"/>
  <c r="AK97" i="10"/>
  <c r="AL97" i="10" s="1"/>
  <c r="AK98" i="10"/>
  <c r="AL98" i="10" s="1"/>
  <c r="AK99" i="10"/>
  <c r="AL99" i="10" s="1"/>
  <c r="AK100" i="10"/>
  <c r="AL100" i="10" s="1"/>
  <c r="AK11" i="10"/>
  <c r="D12" i="1"/>
  <c r="D13" i="1"/>
  <c r="D14" i="1"/>
  <c r="D15" i="1"/>
  <c r="D16" i="1"/>
  <c r="D17" i="1"/>
  <c r="D11" i="1"/>
  <c r="E12" i="1"/>
  <c r="E13" i="1" s="1"/>
  <c r="E14" i="1" s="1"/>
  <c r="E15" i="1" s="1"/>
  <c r="E16" i="1" s="1"/>
  <c r="E17" i="1" s="1"/>
  <c r="E18" i="1" s="1"/>
  <c r="AL60" i="10" l="1"/>
  <c r="AL59" i="10"/>
  <c r="B11" i="10"/>
  <c r="C11" i="10"/>
  <c r="D11" i="10"/>
  <c r="E11" i="10"/>
  <c r="F11" i="10"/>
  <c r="G11" i="10"/>
  <c r="H11" i="10"/>
  <c r="I11" i="10"/>
  <c r="J11" i="10"/>
  <c r="L11" i="10"/>
  <c r="M11" i="10"/>
  <c r="N11" i="10"/>
  <c r="O11" i="10"/>
  <c r="P11" i="10"/>
  <c r="Q11" i="10"/>
  <c r="R11" i="10"/>
  <c r="S11" i="10"/>
  <c r="T11" i="10"/>
  <c r="W11" i="10"/>
  <c r="Y11" i="10"/>
  <c r="AA11" i="10"/>
  <c r="AL11" i="10"/>
  <c r="AD11" i="10"/>
  <c r="AE11" i="10"/>
  <c r="AF11" i="10"/>
  <c r="AH11" i="10"/>
  <c r="AI11" i="10"/>
  <c r="AJ11" i="10"/>
  <c r="B12" i="10"/>
  <c r="C12" i="10"/>
  <c r="D12" i="10"/>
  <c r="E12" i="10"/>
  <c r="F12" i="10"/>
  <c r="G12" i="10"/>
  <c r="H12" i="10"/>
  <c r="I12" i="10"/>
  <c r="J12" i="10"/>
  <c r="L12" i="10"/>
  <c r="M12" i="10"/>
  <c r="N12" i="10"/>
  <c r="O12" i="10"/>
  <c r="P12" i="10"/>
  <c r="Q12" i="10"/>
  <c r="R12" i="10"/>
  <c r="S12" i="10"/>
  <c r="T12" i="10"/>
  <c r="U12" i="10"/>
  <c r="W12" i="10"/>
  <c r="Y12" i="10"/>
  <c r="AA12" i="10"/>
  <c r="AD12" i="10"/>
  <c r="AE12" i="10"/>
  <c r="AF12" i="10"/>
  <c r="AG12" i="10"/>
  <c r="AH12" i="10"/>
  <c r="AI12" i="10"/>
  <c r="AJ12" i="10"/>
  <c r="B13" i="10"/>
  <c r="C13" i="10"/>
  <c r="D13" i="10"/>
  <c r="E13" i="10"/>
  <c r="F13" i="10"/>
  <c r="G13" i="10"/>
  <c r="H13" i="10"/>
  <c r="I13" i="10"/>
  <c r="J13" i="10"/>
  <c r="L13" i="10"/>
  <c r="M13" i="10"/>
  <c r="N13" i="10"/>
  <c r="O13" i="10"/>
  <c r="P13" i="10"/>
  <c r="Q13" i="10"/>
  <c r="R13" i="10"/>
  <c r="S13" i="10"/>
  <c r="T13" i="10"/>
  <c r="W13" i="10"/>
  <c r="AK13" i="10"/>
  <c r="Y13" i="10"/>
  <c r="AA13" i="10"/>
  <c r="AD13" i="10"/>
  <c r="AE13" i="10"/>
  <c r="AF13" i="10"/>
  <c r="AH13" i="10"/>
  <c r="AI13" i="10"/>
  <c r="AJ13" i="10"/>
  <c r="B14" i="10"/>
  <c r="C14" i="10"/>
  <c r="D14" i="10"/>
  <c r="E14" i="10"/>
  <c r="F14" i="10"/>
  <c r="G14" i="10"/>
  <c r="H14" i="10"/>
  <c r="I14" i="10"/>
  <c r="J14" i="10"/>
  <c r="L14" i="10"/>
  <c r="M14" i="10"/>
  <c r="N14" i="10"/>
  <c r="O14" i="10"/>
  <c r="P14" i="10"/>
  <c r="Q14" i="10"/>
  <c r="R14" i="10"/>
  <c r="S14" i="10"/>
  <c r="T14" i="10"/>
  <c r="W14" i="10"/>
  <c r="Y14" i="10"/>
  <c r="AA14" i="10"/>
  <c r="AD14" i="10"/>
  <c r="AE14" i="10"/>
  <c r="AF14" i="10"/>
  <c r="AH14" i="10"/>
  <c r="AI14" i="10"/>
  <c r="AJ14" i="10"/>
  <c r="B15" i="10"/>
  <c r="C15" i="10"/>
  <c r="D15" i="10"/>
  <c r="E15" i="10"/>
  <c r="F15" i="10"/>
  <c r="G15" i="10"/>
  <c r="H15" i="10"/>
  <c r="I15" i="10"/>
  <c r="J15" i="10"/>
  <c r="L15" i="10"/>
  <c r="M15" i="10"/>
  <c r="N15" i="10"/>
  <c r="O15" i="10"/>
  <c r="P15" i="10"/>
  <c r="Q15" i="10"/>
  <c r="R15" i="10"/>
  <c r="S15" i="10"/>
  <c r="T15" i="10"/>
  <c r="U15" i="10"/>
  <c r="W15" i="10"/>
  <c r="AK15" i="10"/>
  <c r="Y15" i="10"/>
  <c r="AA15" i="10"/>
  <c r="AD15" i="10"/>
  <c r="AE15" i="10"/>
  <c r="AF15" i="10"/>
  <c r="AG15" i="10"/>
  <c r="AH15" i="10"/>
  <c r="AI15" i="10"/>
  <c r="AJ15" i="10"/>
  <c r="B16" i="10"/>
  <c r="C16" i="10"/>
  <c r="D16" i="10"/>
  <c r="E16" i="10"/>
  <c r="F16" i="10"/>
  <c r="G16" i="10"/>
  <c r="H16" i="10"/>
  <c r="I16" i="10"/>
  <c r="J16" i="10"/>
  <c r="L16" i="10"/>
  <c r="M16" i="10"/>
  <c r="N16" i="10"/>
  <c r="O16" i="10"/>
  <c r="P16" i="10"/>
  <c r="Q16" i="10"/>
  <c r="R16" i="10"/>
  <c r="S16" i="10"/>
  <c r="T16" i="10"/>
  <c r="W16" i="10"/>
  <c r="AK16" i="10"/>
  <c r="Y16" i="10"/>
  <c r="AA16" i="10"/>
  <c r="AD16" i="10"/>
  <c r="AE16" i="10"/>
  <c r="AF16" i="10"/>
  <c r="AH16" i="10"/>
  <c r="AI16" i="10"/>
  <c r="AJ16" i="10"/>
  <c r="B17" i="10"/>
  <c r="C17" i="10"/>
  <c r="D17" i="10"/>
  <c r="E17" i="10"/>
  <c r="F17" i="10"/>
  <c r="G17" i="10"/>
  <c r="H17" i="10"/>
  <c r="I17" i="10"/>
  <c r="J17" i="10"/>
  <c r="L17" i="10"/>
  <c r="M17" i="10"/>
  <c r="N17" i="10"/>
  <c r="O17" i="10"/>
  <c r="P17" i="10"/>
  <c r="Q17" i="10"/>
  <c r="R17" i="10"/>
  <c r="S17" i="10"/>
  <c r="T17" i="10"/>
  <c r="W17" i="10"/>
  <c r="Y17" i="10"/>
  <c r="AA17" i="10"/>
  <c r="AD17" i="10"/>
  <c r="AE17" i="10"/>
  <c r="AF17" i="10"/>
  <c r="AH17" i="10"/>
  <c r="AI17" i="10"/>
  <c r="AJ17" i="10"/>
  <c r="B18" i="10"/>
  <c r="C18" i="10"/>
  <c r="D18" i="10"/>
  <c r="E18" i="10"/>
  <c r="F18" i="10"/>
  <c r="G18" i="10"/>
  <c r="H18" i="10"/>
  <c r="I18" i="10"/>
  <c r="J18" i="10"/>
  <c r="L18" i="10"/>
  <c r="M18" i="10"/>
  <c r="N18" i="10"/>
  <c r="O18" i="10"/>
  <c r="P18" i="10"/>
  <c r="Q18" i="10"/>
  <c r="R18" i="10"/>
  <c r="S18" i="10"/>
  <c r="T18" i="10"/>
  <c r="W18" i="10"/>
  <c r="Y18" i="10"/>
  <c r="AA18" i="10"/>
  <c r="AD18" i="10"/>
  <c r="AE18" i="10"/>
  <c r="AF18" i="10"/>
  <c r="AH18" i="10"/>
  <c r="AI18" i="10"/>
  <c r="AJ18" i="10"/>
  <c r="B19" i="10"/>
  <c r="C19" i="10"/>
  <c r="D19" i="10"/>
  <c r="E19" i="10"/>
  <c r="F19" i="10"/>
  <c r="G19" i="10"/>
  <c r="H19" i="10"/>
  <c r="I19" i="10"/>
  <c r="J19" i="10"/>
  <c r="L19" i="10"/>
  <c r="M19" i="10"/>
  <c r="N19" i="10"/>
  <c r="O19" i="10"/>
  <c r="P19" i="10"/>
  <c r="Q19" i="10"/>
  <c r="R19" i="10"/>
  <c r="S19" i="10"/>
  <c r="T19" i="10"/>
  <c r="U19" i="10"/>
  <c r="W19" i="10"/>
  <c r="Y19" i="10"/>
  <c r="AA19" i="10"/>
  <c r="AD19" i="10"/>
  <c r="AE19" i="10"/>
  <c r="AF19" i="10"/>
  <c r="AG19" i="10"/>
  <c r="AH19" i="10"/>
  <c r="AI19" i="10"/>
  <c r="AJ19" i="10"/>
  <c r="B20" i="10"/>
  <c r="C20" i="10"/>
  <c r="D20" i="10"/>
  <c r="E20" i="10"/>
  <c r="F20" i="10"/>
  <c r="G20" i="10"/>
  <c r="H20" i="10"/>
  <c r="I20" i="10"/>
  <c r="J20" i="10"/>
  <c r="K20" i="10"/>
  <c r="L20" i="10"/>
  <c r="M20" i="10"/>
  <c r="N20" i="10"/>
  <c r="O20" i="10"/>
  <c r="P20" i="10"/>
  <c r="Q20" i="10"/>
  <c r="R20" i="10"/>
  <c r="S20" i="10"/>
  <c r="T20" i="10"/>
  <c r="U20" i="10"/>
  <c r="W20" i="10"/>
  <c r="AK20" i="10"/>
  <c r="Y20" i="10"/>
  <c r="AA20" i="10"/>
  <c r="AD20" i="10"/>
  <c r="AE20" i="10"/>
  <c r="AF20" i="10"/>
  <c r="AH20" i="10"/>
  <c r="AI20" i="10"/>
  <c r="AJ20" i="10"/>
  <c r="B21" i="10"/>
  <c r="C21" i="10"/>
  <c r="D21" i="10"/>
  <c r="E21" i="10"/>
  <c r="F21" i="10"/>
  <c r="G21" i="10"/>
  <c r="H21" i="10"/>
  <c r="I21" i="10"/>
  <c r="J21" i="10"/>
  <c r="K21" i="10"/>
  <c r="L21" i="10"/>
  <c r="M21" i="10"/>
  <c r="N21" i="10"/>
  <c r="O21" i="10"/>
  <c r="P21" i="10"/>
  <c r="Q21" i="10"/>
  <c r="R21" i="10"/>
  <c r="S21" i="10"/>
  <c r="T21" i="10"/>
  <c r="U21" i="10"/>
  <c r="W21" i="10"/>
  <c r="AK21" i="10"/>
  <c r="AL21" i="10" s="1"/>
  <c r="Y21" i="10"/>
  <c r="AA21" i="10"/>
  <c r="AC21" i="10"/>
  <c r="AD21" i="10"/>
  <c r="AE21" i="10"/>
  <c r="AF21" i="10"/>
  <c r="AG21" i="10"/>
  <c r="AH21" i="10"/>
  <c r="AI21" i="10"/>
  <c r="AJ21" i="10"/>
  <c r="B22" i="10"/>
  <c r="C22" i="10"/>
  <c r="D22" i="10"/>
  <c r="E22" i="10"/>
  <c r="F22" i="10"/>
  <c r="G22" i="10"/>
  <c r="H22" i="10"/>
  <c r="I22" i="10"/>
  <c r="J22" i="10"/>
  <c r="K22" i="10"/>
  <c r="L22" i="10"/>
  <c r="M22" i="10"/>
  <c r="N22" i="10"/>
  <c r="O22" i="10"/>
  <c r="P22" i="10"/>
  <c r="Q22" i="10"/>
  <c r="R22" i="10"/>
  <c r="S22" i="10"/>
  <c r="T22" i="10"/>
  <c r="U22" i="10"/>
  <c r="W22" i="10"/>
  <c r="AK22" i="10"/>
  <c r="AL22" i="10" s="1"/>
  <c r="Y22" i="10"/>
  <c r="AA22" i="10"/>
  <c r="AC22" i="10"/>
  <c r="AD22" i="10"/>
  <c r="AE22" i="10"/>
  <c r="AF22" i="10"/>
  <c r="AH22" i="10"/>
  <c r="AI22" i="10"/>
  <c r="AJ22" i="10"/>
  <c r="B23" i="10"/>
  <c r="C23" i="10"/>
  <c r="D23" i="10"/>
  <c r="E23" i="10"/>
  <c r="F23" i="10"/>
  <c r="G23" i="10"/>
  <c r="H23" i="10"/>
  <c r="I23" i="10"/>
  <c r="J23" i="10"/>
  <c r="K23" i="10"/>
  <c r="L23" i="10"/>
  <c r="M23" i="10"/>
  <c r="N23" i="10"/>
  <c r="O23" i="10"/>
  <c r="P23" i="10"/>
  <c r="Q23" i="10"/>
  <c r="R23" i="10"/>
  <c r="S23" i="10"/>
  <c r="T23" i="10"/>
  <c r="U23" i="10"/>
  <c r="W23" i="10"/>
  <c r="Y23" i="10"/>
  <c r="AA23" i="10"/>
  <c r="AC23" i="10"/>
  <c r="AD23" i="10"/>
  <c r="AE23" i="10"/>
  <c r="AF23" i="10"/>
  <c r="AH23" i="10"/>
  <c r="AI23" i="10"/>
  <c r="AJ23" i="10"/>
  <c r="B24" i="10"/>
  <c r="C24" i="10"/>
  <c r="D24" i="10"/>
  <c r="E24" i="10"/>
  <c r="F24" i="10"/>
  <c r="G24" i="10"/>
  <c r="H24" i="10"/>
  <c r="I24" i="10"/>
  <c r="J24" i="10"/>
  <c r="K24" i="10"/>
  <c r="L24" i="10"/>
  <c r="M24" i="10"/>
  <c r="N24" i="10"/>
  <c r="O24" i="10"/>
  <c r="P24" i="10"/>
  <c r="Q24" i="10"/>
  <c r="R24" i="10"/>
  <c r="S24" i="10"/>
  <c r="T24" i="10"/>
  <c r="U24" i="10"/>
  <c r="W24" i="10"/>
  <c r="AK24" i="10"/>
  <c r="AL24" i="10" s="1"/>
  <c r="Y24" i="10"/>
  <c r="AA24" i="10"/>
  <c r="AC24" i="10"/>
  <c r="AD24" i="10"/>
  <c r="AE24" i="10"/>
  <c r="AF24" i="10"/>
  <c r="AG24" i="10"/>
  <c r="AH24" i="10"/>
  <c r="AI24" i="10"/>
  <c r="AJ24" i="10"/>
  <c r="B25" i="10"/>
  <c r="C25" i="10"/>
  <c r="D25" i="10"/>
  <c r="E25" i="10"/>
  <c r="F25" i="10"/>
  <c r="G25" i="10"/>
  <c r="H25" i="10"/>
  <c r="I25" i="10"/>
  <c r="J25" i="10"/>
  <c r="K25" i="10"/>
  <c r="L25" i="10"/>
  <c r="M25" i="10"/>
  <c r="N25" i="10"/>
  <c r="O25" i="10"/>
  <c r="P25" i="10"/>
  <c r="Q25" i="10"/>
  <c r="R25" i="10"/>
  <c r="S25" i="10"/>
  <c r="T25" i="10"/>
  <c r="U25" i="10"/>
  <c r="W25" i="10"/>
  <c r="AK25" i="10"/>
  <c r="AL25" i="10" s="1"/>
  <c r="Y25" i="10"/>
  <c r="AA25" i="10"/>
  <c r="AC25" i="10"/>
  <c r="AD25" i="10"/>
  <c r="AE25" i="10"/>
  <c r="AF25" i="10"/>
  <c r="AH25" i="10"/>
  <c r="AI25" i="10"/>
  <c r="AJ25" i="10"/>
  <c r="B26" i="10"/>
  <c r="C26" i="10"/>
  <c r="D26" i="10"/>
  <c r="E26" i="10"/>
  <c r="F26" i="10"/>
  <c r="G26" i="10"/>
  <c r="H26" i="10"/>
  <c r="I26" i="10"/>
  <c r="J26" i="10"/>
  <c r="K26" i="10"/>
  <c r="L26" i="10"/>
  <c r="M26" i="10"/>
  <c r="N26" i="10"/>
  <c r="O26" i="10"/>
  <c r="P26" i="10"/>
  <c r="Q26" i="10"/>
  <c r="R26" i="10"/>
  <c r="S26" i="10"/>
  <c r="T26" i="10"/>
  <c r="U26" i="10"/>
  <c r="W26" i="10"/>
  <c r="Y26" i="10"/>
  <c r="AA26" i="10"/>
  <c r="AC26" i="10"/>
  <c r="AD26" i="10"/>
  <c r="AE26" i="10"/>
  <c r="AF26" i="10"/>
  <c r="AH26" i="10"/>
  <c r="AI26" i="10"/>
  <c r="AJ26" i="10"/>
  <c r="B27" i="10"/>
  <c r="C27" i="10"/>
  <c r="D27" i="10"/>
  <c r="E27" i="10"/>
  <c r="F27" i="10"/>
  <c r="G27" i="10"/>
  <c r="H27" i="10"/>
  <c r="I27" i="10"/>
  <c r="J27" i="10"/>
  <c r="K27" i="10"/>
  <c r="L27" i="10"/>
  <c r="M27" i="10"/>
  <c r="N27" i="10"/>
  <c r="O27" i="10"/>
  <c r="P27" i="10"/>
  <c r="Q27" i="10"/>
  <c r="R27" i="10"/>
  <c r="S27" i="10"/>
  <c r="T27" i="10"/>
  <c r="U27" i="10"/>
  <c r="W27" i="10"/>
  <c r="Y27" i="10"/>
  <c r="AA27" i="10"/>
  <c r="AC27" i="10"/>
  <c r="AD27" i="10"/>
  <c r="AE27" i="10"/>
  <c r="AF27" i="10"/>
  <c r="AH27" i="10"/>
  <c r="AI27" i="10"/>
  <c r="AJ27" i="10"/>
  <c r="B28" i="10"/>
  <c r="C28" i="10"/>
  <c r="D28" i="10"/>
  <c r="E28" i="10"/>
  <c r="F28" i="10"/>
  <c r="G28" i="10"/>
  <c r="H28" i="10"/>
  <c r="I28" i="10"/>
  <c r="J28" i="10"/>
  <c r="K28" i="10"/>
  <c r="L28" i="10"/>
  <c r="M28" i="10"/>
  <c r="N28" i="10"/>
  <c r="O28" i="10"/>
  <c r="P28" i="10"/>
  <c r="Q28" i="10"/>
  <c r="R28" i="10"/>
  <c r="S28" i="10"/>
  <c r="T28" i="10"/>
  <c r="U28" i="10"/>
  <c r="W28" i="10"/>
  <c r="AK28" i="10"/>
  <c r="Y28" i="10"/>
  <c r="AA28" i="10"/>
  <c r="AC28" i="10"/>
  <c r="AD28" i="10"/>
  <c r="AE28" i="10"/>
  <c r="AF28" i="10"/>
  <c r="AG28" i="10"/>
  <c r="AH28" i="10"/>
  <c r="AI28" i="10"/>
  <c r="AJ28" i="10"/>
  <c r="B29" i="10"/>
  <c r="C29" i="10"/>
  <c r="D29" i="10"/>
  <c r="E29" i="10"/>
  <c r="F29" i="10"/>
  <c r="G29" i="10"/>
  <c r="H29" i="10"/>
  <c r="I29" i="10"/>
  <c r="J29" i="10"/>
  <c r="K29" i="10"/>
  <c r="L29" i="10"/>
  <c r="M29" i="10"/>
  <c r="N29" i="10"/>
  <c r="O29" i="10"/>
  <c r="P29" i="10"/>
  <c r="Q29" i="10"/>
  <c r="R29" i="10"/>
  <c r="S29" i="10"/>
  <c r="T29" i="10"/>
  <c r="U29" i="10"/>
  <c r="W29" i="10"/>
  <c r="Y29" i="10"/>
  <c r="AA29" i="10"/>
  <c r="AC29" i="10"/>
  <c r="AD29" i="10"/>
  <c r="AE29" i="10"/>
  <c r="AF29" i="10"/>
  <c r="AG29" i="10"/>
  <c r="AH29" i="10"/>
  <c r="AI29" i="10"/>
  <c r="AJ29" i="10"/>
  <c r="B30" i="10"/>
  <c r="C30" i="10"/>
  <c r="D30" i="10"/>
  <c r="E30" i="10"/>
  <c r="F30" i="10"/>
  <c r="G30" i="10"/>
  <c r="H30" i="10"/>
  <c r="I30" i="10"/>
  <c r="J30" i="10"/>
  <c r="K30" i="10"/>
  <c r="L30" i="10"/>
  <c r="M30" i="10"/>
  <c r="N30" i="10"/>
  <c r="O30" i="10"/>
  <c r="P30" i="10"/>
  <c r="Q30" i="10"/>
  <c r="R30" i="10"/>
  <c r="S30" i="10"/>
  <c r="T30" i="10"/>
  <c r="U30" i="10"/>
  <c r="W30" i="10"/>
  <c r="AK30" i="10"/>
  <c r="AL30" i="10" s="1"/>
  <c r="Y30" i="10"/>
  <c r="AA30" i="10"/>
  <c r="AC30" i="10"/>
  <c r="AD30" i="10"/>
  <c r="AE30" i="10"/>
  <c r="AF30" i="10"/>
  <c r="AG30" i="10"/>
  <c r="AH30" i="10"/>
  <c r="AI30" i="10"/>
  <c r="AJ30" i="10"/>
  <c r="B31" i="10"/>
  <c r="C31" i="10"/>
  <c r="D31" i="10"/>
  <c r="E31" i="10"/>
  <c r="F31" i="10"/>
  <c r="G31" i="10"/>
  <c r="H31" i="10"/>
  <c r="I31" i="10"/>
  <c r="J31" i="10"/>
  <c r="K31" i="10"/>
  <c r="L31" i="10"/>
  <c r="M31" i="10"/>
  <c r="N31" i="10"/>
  <c r="O31" i="10"/>
  <c r="P31" i="10"/>
  <c r="Q31" i="10"/>
  <c r="R31" i="10"/>
  <c r="S31" i="10"/>
  <c r="T31" i="10"/>
  <c r="U31" i="10"/>
  <c r="W31" i="10"/>
  <c r="AK31" i="10"/>
  <c r="Y31" i="10"/>
  <c r="AA31" i="10"/>
  <c r="AC31" i="10"/>
  <c r="AD31" i="10"/>
  <c r="AE31" i="10"/>
  <c r="AF31" i="10"/>
  <c r="AG31" i="10"/>
  <c r="AH31" i="10"/>
  <c r="AI31" i="10"/>
  <c r="AJ31" i="10"/>
  <c r="B32" i="10"/>
  <c r="C32" i="10"/>
  <c r="D32" i="10"/>
  <c r="E32" i="10"/>
  <c r="F32" i="10"/>
  <c r="G32" i="10"/>
  <c r="H32" i="10"/>
  <c r="I32" i="10"/>
  <c r="J32" i="10"/>
  <c r="K32" i="10"/>
  <c r="L32" i="10"/>
  <c r="M32" i="10"/>
  <c r="N32" i="10"/>
  <c r="O32" i="10"/>
  <c r="P32" i="10"/>
  <c r="Q32" i="10"/>
  <c r="R32" i="10"/>
  <c r="S32" i="10"/>
  <c r="T32" i="10"/>
  <c r="U32" i="10"/>
  <c r="W32" i="10"/>
  <c r="AK32" i="10"/>
  <c r="Y32" i="10"/>
  <c r="AA32" i="10"/>
  <c r="AC32" i="10"/>
  <c r="AD32" i="10"/>
  <c r="AE32" i="10"/>
  <c r="AF32" i="10"/>
  <c r="AG32" i="10"/>
  <c r="AH32" i="10"/>
  <c r="AI32" i="10"/>
  <c r="AJ32" i="10"/>
  <c r="B33" i="10"/>
  <c r="C33" i="10"/>
  <c r="D33" i="10"/>
  <c r="E33" i="10"/>
  <c r="F33" i="10"/>
  <c r="G33" i="10"/>
  <c r="H33" i="10"/>
  <c r="I33" i="10"/>
  <c r="J33" i="10"/>
  <c r="K33" i="10"/>
  <c r="L33" i="10"/>
  <c r="M33" i="10"/>
  <c r="N33" i="10"/>
  <c r="O33" i="10"/>
  <c r="P33" i="10"/>
  <c r="Q33" i="10"/>
  <c r="R33" i="10"/>
  <c r="S33" i="10"/>
  <c r="T33" i="10"/>
  <c r="U33" i="10"/>
  <c r="W33" i="10"/>
  <c r="Y33" i="10"/>
  <c r="AA33" i="10"/>
  <c r="AC33" i="10"/>
  <c r="AD33" i="10"/>
  <c r="AE33" i="10"/>
  <c r="AF33" i="10"/>
  <c r="AG33" i="10"/>
  <c r="AH33" i="10"/>
  <c r="AI33" i="10"/>
  <c r="AJ33" i="10"/>
  <c r="B34" i="10"/>
  <c r="C34" i="10"/>
  <c r="D34" i="10"/>
  <c r="E34" i="10"/>
  <c r="F34" i="10"/>
  <c r="G34" i="10"/>
  <c r="H34" i="10"/>
  <c r="I34" i="10"/>
  <c r="J34" i="10"/>
  <c r="K34" i="10"/>
  <c r="L34" i="10"/>
  <c r="M34" i="10"/>
  <c r="N34" i="10"/>
  <c r="O34" i="10"/>
  <c r="P34" i="10"/>
  <c r="Q34" i="10"/>
  <c r="R34" i="10"/>
  <c r="S34" i="10"/>
  <c r="T34" i="10"/>
  <c r="U34" i="10"/>
  <c r="W34" i="10"/>
  <c r="AK34" i="10"/>
  <c r="AL34" i="10" s="1"/>
  <c r="Y34" i="10"/>
  <c r="AA34" i="10"/>
  <c r="AC34" i="10"/>
  <c r="AD34" i="10"/>
  <c r="AE34" i="10"/>
  <c r="AF34" i="10"/>
  <c r="AG34" i="10"/>
  <c r="AH34" i="10"/>
  <c r="AI34" i="10"/>
  <c r="AJ34" i="10"/>
  <c r="B35" i="10"/>
  <c r="C35" i="10"/>
  <c r="D35" i="10"/>
  <c r="E35" i="10"/>
  <c r="F35" i="10"/>
  <c r="G35" i="10"/>
  <c r="H35" i="10"/>
  <c r="I35" i="10"/>
  <c r="J35" i="10"/>
  <c r="K35" i="10"/>
  <c r="L35" i="10"/>
  <c r="M35" i="10"/>
  <c r="N35" i="10"/>
  <c r="O35" i="10"/>
  <c r="P35" i="10"/>
  <c r="Q35" i="10"/>
  <c r="R35" i="10"/>
  <c r="S35" i="10"/>
  <c r="T35" i="10"/>
  <c r="U35" i="10"/>
  <c r="W35" i="10"/>
  <c r="AK35" i="10"/>
  <c r="AL35" i="10" s="1"/>
  <c r="Y35" i="10"/>
  <c r="AA35" i="10"/>
  <c r="AC35" i="10"/>
  <c r="AD35" i="10"/>
  <c r="AE35" i="10"/>
  <c r="AF35" i="10"/>
  <c r="AG35" i="10"/>
  <c r="AH35" i="10"/>
  <c r="AI35" i="10"/>
  <c r="AJ35" i="10"/>
  <c r="B36" i="10"/>
  <c r="C36" i="10"/>
  <c r="D36" i="10"/>
  <c r="E36" i="10"/>
  <c r="F36" i="10"/>
  <c r="G36" i="10"/>
  <c r="H36" i="10"/>
  <c r="I36" i="10"/>
  <c r="J36" i="10"/>
  <c r="K36" i="10"/>
  <c r="L36" i="10"/>
  <c r="M36" i="10"/>
  <c r="N36" i="10"/>
  <c r="O36" i="10"/>
  <c r="P36" i="10"/>
  <c r="Q36" i="10"/>
  <c r="R36" i="10"/>
  <c r="S36" i="10"/>
  <c r="T36" i="10"/>
  <c r="U36" i="10"/>
  <c r="W36" i="10"/>
  <c r="AK36" i="10"/>
  <c r="AL36" i="10" s="1"/>
  <c r="Y36" i="10"/>
  <c r="AA36" i="10"/>
  <c r="AC36" i="10"/>
  <c r="AD36" i="10"/>
  <c r="AE36" i="10"/>
  <c r="AF36" i="10"/>
  <c r="AG36" i="10"/>
  <c r="AH36" i="10"/>
  <c r="AI36" i="10"/>
  <c r="AJ36" i="10"/>
  <c r="B37" i="10"/>
  <c r="C37" i="10"/>
  <c r="D37" i="10"/>
  <c r="E37" i="10"/>
  <c r="F37" i="10"/>
  <c r="G37" i="10"/>
  <c r="H37" i="10"/>
  <c r="I37" i="10"/>
  <c r="J37" i="10"/>
  <c r="K37" i="10"/>
  <c r="L37" i="10"/>
  <c r="M37" i="10"/>
  <c r="N37" i="10"/>
  <c r="O37" i="10"/>
  <c r="P37" i="10"/>
  <c r="Q37" i="10"/>
  <c r="R37" i="10"/>
  <c r="S37" i="10"/>
  <c r="T37" i="10"/>
  <c r="U37" i="10"/>
  <c r="W37" i="10"/>
  <c r="Y37" i="10"/>
  <c r="AA37" i="10"/>
  <c r="AC37" i="10"/>
  <c r="AD37" i="10"/>
  <c r="AE37" i="10"/>
  <c r="AF37" i="10"/>
  <c r="AG37" i="10"/>
  <c r="AH37" i="10"/>
  <c r="AI37" i="10"/>
  <c r="AJ37" i="10"/>
  <c r="B38" i="10"/>
  <c r="C38" i="10"/>
  <c r="D38" i="10"/>
  <c r="E38" i="10"/>
  <c r="F38" i="10"/>
  <c r="G38" i="10"/>
  <c r="H38" i="10"/>
  <c r="I38" i="10"/>
  <c r="J38" i="10"/>
  <c r="K38" i="10"/>
  <c r="L38" i="10"/>
  <c r="M38" i="10"/>
  <c r="N38" i="10"/>
  <c r="O38" i="10"/>
  <c r="P38" i="10"/>
  <c r="Q38" i="10"/>
  <c r="R38" i="10"/>
  <c r="S38" i="10"/>
  <c r="T38" i="10"/>
  <c r="U38" i="10"/>
  <c r="W38" i="10"/>
  <c r="AK38" i="10"/>
  <c r="AL38" i="10" s="1"/>
  <c r="Y38" i="10"/>
  <c r="AA38" i="10"/>
  <c r="AC38" i="10"/>
  <c r="AD38" i="10"/>
  <c r="AE38" i="10"/>
  <c r="AF38" i="10"/>
  <c r="AG38" i="10"/>
  <c r="AH38" i="10"/>
  <c r="AI38" i="10"/>
  <c r="AJ38" i="10"/>
  <c r="B39" i="10"/>
  <c r="C39" i="10"/>
  <c r="D39" i="10"/>
  <c r="E39" i="10"/>
  <c r="F39" i="10"/>
  <c r="G39" i="10"/>
  <c r="H39" i="10"/>
  <c r="I39" i="10"/>
  <c r="J39" i="10"/>
  <c r="K39" i="10"/>
  <c r="L39" i="10"/>
  <c r="M39" i="10"/>
  <c r="N39" i="10"/>
  <c r="O39" i="10"/>
  <c r="P39" i="10"/>
  <c r="Q39" i="10"/>
  <c r="R39" i="10"/>
  <c r="S39" i="10"/>
  <c r="T39" i="10"/>
  <c r="U39" i="10"/>
  <c r="W39" i="10"/>
  <c r="AK39" i="10"/>
  <c r="AL39" i="10" s="1"/>
  <c r="Y39" i="10"/>
  <c r="AA39" i="10"/>
  <c r="AC39" i="10"/>
  <c r="AD39" i="10"/>
  <c r="AE39" i="10"/>
  <c r="AF39" i="10"/>
  <c r="AG39" i="10"/>
  <c r="AH39" i="10"/>
  <c r="AI39" i="10"/>
  <c r="AJ39" i="10"/>
  <c r="B40" i="10"/>
  <c r="C40" i="10"/>
  <c r="D40" i="10"/>
  <c r="E40" i="10"/>
  <c r="F40" i="10"/>
  <c r="G40" i="10"/>
  <c r="H40" i="10"/>
  <c r="I40" i="10"/>
  <c r="J40" i="10"/>
  <c r="K40" i="10"/>
  <c r="L40" i="10"/>
  <c r="M40" i="10"/>
  <c r="N40" i="10"/>
  <c r="O40" i="10"/>
  <c r="P40" i="10"/>
  <c r="Q40" i="10"/>
  <c r="R40" i="10"/>
  <c r="S40" i="10"/>
  <c r="T40" i="10"/>
  <c r="U40" i="10" s="1"/>
  <c r="W40" i="10"/>
  <c r="AK40" i="10"/>
  <c r="Y40" i="10"/>
  <c r="AA40" i="10"/>
  <c r="AC40" i="10"/>
  <c r="AD40" i="10"/>
  <c r="AE40" i="10"/>
  <c r="AF40" i="10"/>
  <c r="AG40" i="10"/>
  <c r="AH40" i="10"/>
  <c r="AI40" i="10"/>
  <c r="AJ40" i="10"/>
  <c r="B41" i="10"/>
  <c r="C41" i="10"/>
  <c r="D41" i="10"/>
  <c r="E41" i="10"/>
  <c r="F41" i="10"/>
  <c r="G41" i="10"/>
  <c r="H41" i="10"/>
  <c r="I41" i="10"/>
  <c r="J41" i="10"/>
  <c r="K41" i="10"/>
  <c r="L41" i="10"/>
  <c r="M41" i="10"/>
  <c r="N41" i="10"/>
  <c r="O41" i="10"/>
  <c r="P41" i="10"/>
  <c r="Q41" i="10"/>
  <c r="R41" i="10"/>
  <c r="S41" i="10"/>
  <c r="T41" i="10"/>
  <c r="U41" i="10" s="1"/>
  <c r="W41" i="10"/>
  <c r="Y41" i="10"/>
  <c r="AA41" i="10"/>
  <c r="AC41" i="10"/>
  <c r="AD41" i="10"/>
  <c r="AE41" i="10"/>
  <c r="AF41" i="10"/>
  <c r="AG41" i="10"/>
  <c r="AH41" i="10"/>
  <c r="AI41" i="10"/>
  <c r="AJ41" i="10"/>
  <c r="B42" i="10"/>
  <c r="C42" i="10"/>
  <c r="D42" i="10"/>
  <c r="E42" i="10"/>
  <c r="F42" i="10"/>
  <c r="G42" i="10"/>
  <c r="H42" i="10"/>
  <c r="I42" i="10"/>
  <c r="J42" i="10"/>
  <c r="K42" i="10"/>
  <c r="L42" i="10"/>
  <c r="M42" i="10"/>
  <c r="N42" i="10"/>
  <c r="O42" i="10"/>
  <c r="P42" i="10"/>
  <c r="Q42" i="10"/>
  <c r="R42" i="10"/>
  <c r="S42" i="10"/>
  <c r="T42" i="10"/>
  <c r="U42" i="10" s="1"/>
  <c r="W42" i="10"/>
  <c r="AK42" i="10"/>
  <c r="Y42" i="10"/>
  <c r="AA42" i="10"/>
  <c r="AC42" i="10"/>
  <c r="AD42" i="10"/>
  <c r="AE42" i="10"/>
  <c r="AF42" i="10"/>
  <c r="AG42" i="10"/>
  <c r="AH42" i="10"/>
  <c r="AI42" i="10"/>
  <c r="AJ42" i="10"/>
  <c r="B43" i="10"/>
  <c r="C43" i="10"/>
  <c r="D43" i="10"/>
  <c r="E43" i="10"/>
  <c r="F43" i="10"/>
  <c r="G43" i="10"/>
  <c r="H43" i="10"/>
  <c r="I43" i="10"/>
  <c r="J43" i="10"/>
  <c r="K43" i="10"/>
  <c r="L43" i="10"/>
  <c r="M43" i="10"/>
  <c r="N43" i="10"/>
  <c r="O43" i="10"/>
  <c r="P43" i="10"/>
  <c r="Q43" i="10"/>
  <c r="R43" i="10"/>
  <c r="S43" i="10"/>
  <c r="T43" i="10"/>
  <c r="U43" i="10" s="1"/>
  <c r="W43" i="10"/>
  <c r="AK43" i="10"/>
  <c r="AL43" i="10" s="1"/>
  <c r="Y43" i="10"/>
  <c r="AA43" i="10"/>
  <c r="AC43" i="10"/>
  <c r="AD43" i="10"/>
  <c r="AE43" i="10"/>
  <c r="AF43" i="10"/>
  <c r="AG43" i="10"/>
  <c r="AH43" i="10"/>
  <c r="AI43" i="10"/>
  <c r="AJ43" i="10"/>
  <c r="B44" i="10"/>
  <c r="C44" i="10"/>
  <c r="D44" i="10"/>
  <c r="E44" i="10"/>
  <c r="F44" i="10"/>
  <c r="G44" i="10"/>
  <c r="H44" i="10"/>
  <c r="I44" i="10"/>
  <c r="J44" i="10"/>
  <c r="K44" i="10"/>
  <c r="L44" i="10"/>
  <c r="M44" i="10"/>
  <c r="N44" i="10"/>
  <c r="O44" i="10"/>
  <c r="P44" i="10"/>
  <c r="Q44" i="10"/>
  <c r="R44" i="10"/>
  <c r="S44" i="10"/>
  <c r="T44" i="10"/>
  <c r="U44" i="10" s="1"/>
  <c r="W44" i="10"/>
  <c r="AK44" i="10"/>
  <c r="Y44" i="10"/>
  <c r="AA44" i="10"/>
  <c r="AC44" i="10"/>
  <c r="AD44" i="10"/>
  <c r="AE44" i="10"/>
  <c r="AF44" i="10"/>
  <c r="AG44" i="10"/>
  <c r="AH44" i="10"/>
  <c r="AI44" i="10"/>
  <c r="AJ44" i="10"/>
  <c r="B45" i="10"/>
  <c r="C45" i="10"/>
  <c r="D45" i="10"/>
  <c r="E45" i="10"/>
  <c r="F45" i="10"/>
  <c r="G45" i="10"/>
  <c r="H45" i="10"/>
  <c r="I45" i="10"/>
  <c r="J45" i="10"/>
  <c r="K45" i="10"/>
  <c r="L45" i="10"/>
  <c r="M45" i="10"/>
  <c r="N45" i="10"/>
  <c r="O45" i="10"/>
  <c r="P45" i="10"/>
  <c r="Q45" i="10"/>
  <c r="R45" i="10"/>
  <c r="S45" i="10"/>
  <c r="T45" i="10"/>
  <c r="U45" i="10"/>
  <c r="W45" i="10"/>
  <c r="Y45" i="10"/>
  <c r="AA45" i="10"/>
  <c r="AL45" i="10"/>
  <c r="AM45" i="10" s="1"/>
  <c r="AC45" i="10"/>
  <c r="AD45" i="10"/>
  <c r="AE45" i="10"/>
  <c r="AF45" i="10"/>
  <c r="AG45" i="10"/>
  <c r="AH45" i="10"/>
  <c r="AI45" i="10"/>
  <c r="AJ45" i="10"/>
  <c r="B46" i="10"/>
  <c r="C46" i="10"/>
  <c r="D46" i="10"/>
  <c r="E46" i="10"/>
  <c r="F46" i="10"/>
  <c r="G46" i="10"/>
  <c r="H46" i="10"/>
  <c r="I46" i="10"/>
  <c r="J46" i="10"/>
  <c r="K46" i="10"/>
  <c r="L46" i="10"/>
  <c r="M46" i="10"/>
  <c r="N46" i="10"/>
  <c r="O46" i="10"/>
  <c r="P46" i="10"/>
  <c r="Q46" i="10"/>
  <c r="R46" i="10"/>
  <c r="S46" i="10"/>
  <c r="T46" i="10"/>
  <c r="U46" i="10"/>
  <c r="W46" i="10"/>
  <c r="Y46" i="10"/>
  <c r="AA46" i="10"/>
  <c r="AL46" i="10"/>
  <c r="AC46" i="10"/>
  <c r="AD46" i="10"/>
  <c r="AE46" i="10"/>
  <c r="AF46" i="10"/>
  <c r="AG46" i="10"/>
  <c r="AH46" i="10"/>
  <c r="AI46" i="10"/>
  <c r="AJ46" i="10"/>
  <c r="B47" i="10"/>
  <c r="C47" i="10"/>
  <c r="D47" i="10"/>
  <c r="E47" i="10"/>
  <c r="F47" i="10"/>
  <c r="G47" i="10"/>
  <c r="H47" i="10"/>
  <c r="I47" i="10"/>
  <c r="J47" i="10"/>
  <c r="K47" i="10"/>
  <c r="L47" i="10"/>
  <c r="M47" i="10"/>
  <c r="N47" i="10"/>
  <c r="O47" i="10"/>
  <c r="AX47" i="10" s="1"/>
  <c r="P47" i="10"/>
  <c r="Q47" i="10"/>
  <c r="R47" i="10"/>
  <c r="S47" i="10"/>
  <c r="T47" i="10"/>
  <c r="U47" i="10"/>
  <c r="W47" i="10"/>
  <c r="Y47" i="10"/>
  <c r="AA47" i="10"/>
  <c r="AL47" i="10"/>
  <c r="AC47" i="10"/>
  <c r="AD47" i="10"/>
  <c r="AE47" i="10"/>
  <c r="AF47" i="10"/>
  <c r="AG47" i="10"/>
  <c r="AH47" i="10"/>
  <c r="AI47" i="10"/>
  <c r="AJ47" i="10"/>
  <c r="B48" i="10"/>
  <c r="C48" i="10"/>
  <c r="D48" i="10"/>
  <c r="E48" i="10"/>
  <c r="F48" i="10"/>
  <c r="G48" i="10"/>
  <c r="H48" i="10"/>
  <c r="I48" i="10"/>
  <c r="J48" i="10"/>
  <c r="K48" i="10"/>
  <c r="L48" i="10"/>
  <c r="M48" i="10"/>
  <c r="N48" i="10"/>
  <c r="O48" i="10"/>
  <c r="AX48" i="10" s="1"/>
  <c r="P48" i="10"/>
  <c r="Q48" i="10"/>
  <c r="R48" i="10"/>
  <c r="S48" i="10"/>
  <c r="T48" i="10"/>
  <c r="U48" i="10"/>
  <c r="W48" i="10"/>
  <c r="Y48" i="10"/>
  <c r="AA48" i="10"/>
  <c r="AL48" i="10"/>
  <c r="AC48" i="10"/>
  <c r="AD48" i="10"/>
  <c r="AE48" i="10"/>
  <c r="AF48" i="10"/>
  <c r="AG48" i="10"/>
  <c r="AH48" i="10"/>
  <c r="AI48" i="10"/>
  <c r="AJ48" i="10"/>
  <c r="B49" i="10"/>
  <c r="C49" i="10"/>
  <c r="D49" i="10"/>
  <c r="E49" i="10"/>
  <c r="F49" i="10"/>
  <c r="G49" i="10"/>
  <c r="H49" i="10"/>
  <c r="I49" i="10"/>
  <c r="J49" i="10"/>
  <c r="K49" i="10"/>
  <c r="L49" i="10"/>
  <c r="M49" i="10"/>
  <c r="N49" i="10"/>
  <c r="O49" i="10"/>
  <c r="P49" i="10"/>
  <c r="Q49" i="10"/>
  <c r="R49" i="10"/>
  <c r="S49" i="10"/>
  <c r="T49" i="10"/>
  <c r="U49" i="10"/>
  <c r="W49" i="10"/>
  <c r="Y49" i="10"/>
  <c r="AA49" i="10"/>
  <c r="AL49" i="10"/>
  <c r="AM49" i="10" s="1"/>
  <c r="AC49" i="10"/>
  <c r="AD49" i="10"/>
  <c r="AE49" i="10"/>
  <c r="AF49" i="10"/>
  <c r="AG49" i="10"/>
  <c r="AH49" i="10"/>
  <c r="AI49" i="10"/>
  <c r="AJ49" i="10"/>
  <c r="B50" i="10"/>
  <c r="C50" i="10"/>
  <c r="D50" i="10"/>
  <c r="E50" i="10"/>
  <c r="F50" i="10"/>
  <c r="G50" i="10"/>
  <c r="H50" i="10"/>
  <c r="I50" i="10"/>
  <c r="J50" i="10"/>
  <c r="K50" i="10"/>
  <c r="L50" i="10"/>
  <c r="M50" i="10"/>
  <c r="N50" i="10"/>
  <c r="O50" i="10"/>
  <c r="P50" i="10"/>
  <c r="Q50" i="10"/>
  <c r="R50" i="10"/>
  <c r="S50" i="10"/>
  <c r="T50" i="10"/>
  <c r="U50" i="10"/>
  <c r="W50" i="10"/>
  <c r="Y50" i="10"/>
  <c r="AA50" i="10"/>
  <c r="AL50" i="10"/>
  <c r="AC50" i="10"/>
  <c r="AD50" i="10"/>
  <c r="AE50" i="10"/>
  <c r="AF50" i="10"/>
  <c r="AG50" i="10"/>
  <c r="AH50" i="10"/>
  <c r="AI50" i="10"/>
  <c r="AJ50" i="10"/>
  <c r="B51" i="10"/>
  <c r="C51" i="10"/>
  <c r="D51" i="10"/>
  <c r="E51" i="10"/>
  <c r="F51" i="10"/>
  <c r="G51" i="10"/>
  <c r="H51" i="10"/>
  <c r="I51" i="10"/>
  <c r="J51" i="10"/>
  <c r="K51" i="10"/>
  <c r="L51" i="10"/>
  <c r="M51" i="10"/>
  <c r="N51" i="10"/>
  <c r="O51" i="10"/>
  <c r="P51" i="10"/>
  <c r="Q51" i="10"/>
  <c r="R51" i="10"/>
  <c r="S51" i="10"/>
  <c r="T51" i="10"/>
  <c r="U51" i="10"/>
  <c r="W51" i="10"/>
  <c r="Y51" i="10"/>
  <c r="AA51" i="10"/>
  <c r="AL51" i="10"/>
  <c r="AC51" i="10"/>
  <c r="AD51" i="10"/>
  <c r="AE51" i="10"/>
  <c r="AF51" i="10"/>
  <c r="AG51" i="10"/>
  <c r="AH51" i="10"/>
  <c r="AI51" i="10"/>
  <c r="AJ51" i="10"/>
  <c r="B52" i="10"/>
  <c r="C52" i="10"/>
  <c r="D52" i="10"/>
  <c r="E52" i="10"/>
  <c r="F52" i="10"/>
  <c r="G52" i="10"/>
  <c r="H52" i="10"/>
  <c r="I52" i="10"/>
  <c r="J52" i="10"/>
  <c r="K52" i="10"/>
  <c r="L52" i="10"/>
  <c r="M52" i="10"/>
  <c r="N52" i="10"/>
  <c r="O52" i="10"/>
  <c r="P52" i="10"/>
  <c r="Q52" i="10"/>
  <c r="R52" i="10"/>
  <c r="S52" i="10"/>
  <c r="T52" i="10"/>
  <c r="U52" i="10"/>
  <c r="W52" i="10"/>
  <c r="Y52" i="10"/>
  <c r="AA52" i="10"/>
  <c r="AL52" i="10"/>
  <c r="AC52" i="10"/>
  <c r="AD52" i="10"/>
  <c r="AE52" i="10"/>
  <c r="AF52" i="10"/>
  <c r="AG52" i="10"/>
  <c r="AH52" i="10"/>
  <c r="AI52" i="10"/>
  <c r="AJ52" i="10"/>
  <c r="B53" i="10"/>
  <c r="C53" i="10"/>
  <c r="D53" i="10"/>
  <c r="E53" i="10"/>
  <c r="F53" i="10"/>
  <c r="G53" i="10"/>
  <c r="H53" i="10"/>
  <c r="I53" i="10"/>
  <c r="J53" i="10"/>
  <c r="K53" i="10"/>
  <c r="L53" i="10"/>
  <c r="M53" i="10"/>
  <c r="N53" i="10"/>
  <c r="O53" i="10"/>
  <c r="P53" i="10"/>
  <c r="Q53" i="10"/>
  <c r="R53" i="10"/>
  <c r="S53" i="10"/>
  <c r="T53" i="10"/>
  <c r="U53" i="10"/>
  <c r="W53" i="10"/>
  <c r="Y53" i="10"/>
  <c r="AA53" i="10"/>
  <c r="AL53" i="10"/>
  <c r="AM53" i="10" s="1"/>
  <c r="AC53" i="10"/>
  <c r="AD53" i="10"/>
  <c r="AE53" i="10"/>
  <c r="AF53" i="10"/>
  <c r="AG53" i="10"/>
  <c r="AH53" i="10"/>
  <c r="AI53" i="10"/>
  <c r="AJ53" i="10"/>
  <c r="B54" i="10"/>
  <c r="C54" i="10"/>
  <c r="D54" i="10"/>
  <c r="E54" i="10"/>
  <c r="F54" i="10"/>
  <c r="G54" i="10"/>
  <c r="H54" i="10"/>
  <c r="I54" i="10"/>
  <c r="J54" i="10"/>
  <c r="K54" i="10"/>
  <c r="L54" i="10"/>
  <c r="M54" i="10"/>
  <c r="N54" i="10"/>
  <c r="O54" i="10"/>
  <c r="P54" i="10"/>
  <c r="Q54" i="10"/>
  <c r="R54" i="10"/>
  <c r="S54" i="10"/>
  <c r="T54" i="10"/>
  <c r="U54" i="10"/>
  <c r="W54" i="10"/>
  <c r="Y54" i="10"/>
  <c r="AA54" i="10"/>
  <c r="AL54" i="10"/>
  <c r="AC54" i="10"/>
  <c r="AD54" i="10"/>
  <c r="AE54" i="10"/>
  <c r="AF54" i="10"/>
  <c r="AG54" i="10"/>
  <c r="AH54" i="10"/>
  <c r="AI54" i="10"/>
  <c r="AJ54" i="10"/>
  <c r="B55" i="10"/>
  <c r="C55" i="10"/>
  <c r="D55" i="10"/>
  <c r="E55" i="10"/>
  <c r="F55" i="10"/>
  <c r="G55" i="10"/>
  <c r="H55" i="10"/>
  <c r="I55" i="10"/>
  <c r="J55" i="10"/>
  <c r="K55" i="10"/>
  <c r="L55" i="10"/>
  <c r="M55" i="10"/>
  <c r="N55" i="10"/>
  <c r="O55" i="10"/>
  <c r="P55" i="10"/>
  <c r="Q55" i="10"/>
  <c r="R55" i="10"/>
  <c r="S55" i="10"/>
  <c r="T55" i="10"/>
  <c r="U55" i="10"/>
  <c r="W55" i="10"/>
  <c r="Y55" i="10"/>
  <c r="AA55" i="10"/>
  <c r="AL55" i="10"/>
  <c r="AC55" i="10"/>
  <c r="AD55" i="10"/>
  <c r="AE55" i="10"/>
  <c r="AF55" i="10"/>
  <c r="AG55" i="10"/>
  <c r="AH55" i="10"/>
  <c r="AI55" i="10"/>
  <c r="AJ55" i="10"/>
  <c r="B56" i="10"/>
  <c r="C56" i="10"/>
  <c r="D56" i="10"/>
  <c r="E56" i="10"/>
  <c r="F56" i="10"/>
  <c r="G56" i="10"/>
  <c r="H56" i="10"/>
  <c r="I56" i="10"/>
  <c r="J56" i="10"/>
  <c r="K56" i="10"/>
  <c r="L56" i="10"/>
  <c r="M56" i="10"/>
  <c r="N56" i="10"/>
  <c r="O56" i="10"/>
  <c r="P56" i="10"/>
  <c r="Q56" i="10"/>
  <c r="R56" i="10"/>
  <c r="S56" i="10"/>
  <c r="T56" i="10"/>
  <c r="U56" i="10"/>
  <c r="W56" i="10"/>
  <c r="Y56" i="10"/>
  <c r="AA56" i="10"/>
  <c r="AL56" i="10"/>
  <c r="AC56" i="10"/>
  <c r="AD56" i="10"/>
  <c r="AE56" i="10"/>
  <c r="AF56" i="10"/>
  <c r="AG56" i="10"/>
  <c r="AH56" i="10"/>
  <c r="AI56" i="10"/>
  <c r="AJ56" i="10"/>
  <c r="B57" i="10"/>
  <c r="C57" i="10"/>
  <c r="D57" i="10"/>
  <c r="E57" i="10"/>
  <c r="F57" i="10"/>
  <c r="G57" i="10"/>
  <c r="H57" i="10"/>
  <c r="I57" i="10"/>
  <c r="J57" i="10"/>
  <c r="K57" i="10"/>
  <c r="L57" i="10"/>
  <c r="M57" i="10"/>
  <c r="N57" i="10"/>
  <c r="O57" i="10"/>
  <c r="P57" i="10"/>
  <c r="Q57" i="10"/>
  <c r="R57" i="10"/>
  <c r="S57" i="10"/>
  <c r="T57" i="10"/>
  <c r="U57" i="10"/>
  <c r="W57" i="10"/>
  <c r="Y57" i="10"/>
  <c r="AA57" i="10"/>
  <c r="AL57" i="10"/>
  <c r="AM57" i="10" s="1"/>
  <c r="AC57" i="10"/>
  <c r="AD57" i="10"/>
  <c r="AE57" i="10"/>
  <c r="AF57" i="10"/>
  <c r="AG57" i="10"/>
  <c r="AH57" i="10"/>
  <c r="AI57" i="10"/>
  <c r="AJ57" i="10"/>
  <c r="B58" i="10"/>
  <c r="C58" i="10"/>
  <c r="D58" i="10"/>
  <c r="E58" i="10"/>
  <c r="F58" i="10"/>
  <c r="G58" i="10"/>
  <c r="H58" i="10"/>
  <c r="I58" i="10"/>
  <c r="J58" i="10"/>
  <c r="K58" i="10"/>
  <c r="L58" i="10"/>
  <c r="M58" i="10"/>
  <c r="N58" i="10"/>
  <c r="O58" i="10"/>
  <c r="P58" i="10"/>
  <c r="Q58" i="10"/>
  <c r="R58" i="10"/>
  <c r="S58" i="10"/>
  <c r="T58" i="10"/>
  <c r="U58" i="10"/>
  <c r="W58" i="10"/>
  <c r="Y58" i="10"/>
  <c r="AA58" i="10"/>
  <c r="AL58" i="10"/>
  <c r="AC58" i="10"/>
  <c r="AD58" i="10"/>
  <c r="AE58" i="10"/>
  <c r="AF58" i="10"/>
  <c r="AG58" i="10"/>
  <c r="AH58" i="10"/>
  <c r="AI58" i="10"/>
  <c r="AJ58" i="10"/>
  <c r="B59" i="10"/>
  <c r="C59" i="10"/>
  <c r="D59" i="10"/>
  <c r="E59" i="10"/>
  <c r="F59" i="10"/>
  <c r="G59" i="10"/>
  <c r="H59" i="10"/>
  <c r="I59" i="10"/>
  <c r="J59" i="10"/>
  <c r="K59" i="10"/>
  <c r="L59" i="10"/>
  <c r="M59" i="10"/>
  <c r="N59" i="10"/>
  <c r="O59" i="10"/>
  <c r="AX59" i="10" s="1"/>
  <c r="P59" i="10"/>
  <c r="Q59" i="10"/>
  <c r="R59" i="10"/>
  <c r="S59" i="10"/>
  <c r="T59" i="10"/>
  <c r="U59" i="10"/>
  <c r="W59" i="10"/>
  <c r="Y59" i="10"/>
  <c r="AA59" i="10"/>
  <c r="AC59" i="10"/>
  <c r="AD59" i="10"/>
  <c r="AE59" i="10"/>
  <c r="AF59" i="10"/>
  <c r="AG59" i="10"/>
  <c r="AH59" i="10"/>
  <c r="AI59" i="10"/>
  <c r="AJ59" i="10"/>
  <c r="B60" i="10"/>
  <c r="C60" i="10"/>
  <c r="D60" i="10"/>
  <c r="E60" i="10"/>
  <c r="F60" i="10"/>
  <c r="G60" i="10"/>
  <c r="H60" i="10"/>
  <c r="I60" i="10"/>
  <c r="J60" i="10"/>
  <c r="K60" i="10"/>
  <c r="L60" i="10"/>
  <c r="M60" i="10"/>
  <c r="N60" i="10"/>
  <c r="O60" i="10"/>
  <c r="P60" i="10"/>
  <c r="Q60" i="10"/>
  <c r="R60" i="10"/>
  <c r="S60" i="10"/>
  <c r="T60" i="10"/>
  <c r="U60" i="10"/>
  <c r="W60" i="10"/>
  <c r="Y60" i="10"/>
  <c r="AA60" i="10"/>
  <c r="AC60" i="10"/>
  <c r="AD60" i="10"/>
  <c r="AE60" i="10"/>
  <c r="AF60" i="10"/>
  <c r="AG60" i="10"/>
  <c r="AH60" i="10"/>
  <c r="AI60" i="10"/>
  <c r="AJ60" i="10"/>
  <c r="B61" i="10"/>
  <c r="C61" i="10"/>
  <c r="D61" i="10"/>
  <c r="E61" i="10"/>
  <c r="F61" i="10"/>
  <c r="G61" i="10"/>
  <c r="H61" i="10"/>
  <c r="I61" i="10"/>
  <c r="J61" i="10"/>
  <c r="K61" i="10"/>
  <c r="L61" i="10"/>
  <c r="M61" i="10"/>
  <c r="N61" i="10"/>
  <c r="O61" i="10"/>
  <c r="P61" i="10"/>
  <c r="Q61" i="10"/>
  <c r="R61" i="10"/>
  <c r="S61" i="10"/>
  <c r="T61" i="10"/>
  <c r="U61" i="10"/>
  <c r="W61" i="10"/>
  <c r="Y61" i="10"/>
  <c r="AA61" i="10"/>
  <c r="AL61" i="10"/>
  <c r="AM61" i="10" s="1"/>
  <c r="AC61" i="10"/>
  <c r="AD61" i="10"/>
  <c r="AE61" i="10"/>
  <c r="AF61" i="10"/>
  <c r="AG61" i="10"/>
  <c r="AH61" i="10"/>
  <c r="AI61" i="10"/>
  <c r="AJ61" i="10"/>
  <c r="B62" i="10"/>
  <c r="C62" i="10"/>
  <c r="D62" i="10"/>
  <c r="E62" i="10"/>
  <c r="F62" i="10"/>
  <c r="G62" i="10"/>
  <c r="H62" i="10"/>
  <c r="I62" i="10"/>
  <c r="J62" i="10"/>
  <c r="K62" i="10"/>
  <c r="L62" i="10"/>
  <c r="M62" i="10"/>
  <c r="N62" i="10"/>
  <c r="O62" i="10"/>
  <c r="P62" i="10"/>
  <c r="Q62" i="10"/>
  <c r="R62" i="10"/>
  <c r="S62" i="10"/>
  <c r="T62" i="10"/>
  <c r="U62" i="10"/>
  <c r="W62" i="10"/>
  <c r="Y62" i="10"/>
  <c r="AA62" i="10"/>
  <c r="AL62" i="10"/>
  <c r="AC62" i="10"/>
  <c r="AD62" i="10"/>
  <c r="AE62" i="10"/>
  <c r="AF62" i="10"/>
  <c r="AG62" i="10"/>
  <c r="AH62" i="10"/>
  <c r="AI62" i="10"/>
  <c r="AJ62" i="10"/>
  <c r="B63" i="10"/>
  <c r="C63" i="10"/>
  <c r="D63" i="10"/>
  <c r="E63" i="10"/>
  <c r="F63" i="10"/>
  <c r="G63" i="10"/>
  <c r="H63" i="10"/>
  <c r="I63" i="10"/>
  <c r="J63" i="10"/>
  <c r="K63" i="10"/>
  <c r="L63" i="10"/>
  <c r="M63" i="10"/>
  <c r="N63" i="10"/>
  <c r="O63" i="10"/>
  <c r="P63" i="10"/>
  <c r="Q63" i="10"/>
  <c r="R63" i="10"/>
  <c r="S63" i="10"/>
  <c r="T63" i="10"/>
  <c r="U63" i="10"/>
  <c r="W63" i="10"/>
  <c r="Y63" i="10"/>
  <c r="AA63" i="10"/>
  <c r="AL63" i="10"/>
  <c r="AC63" i="10"/>
  <c r="AD63" i="10"/>
  <c r="AE63" i="10"/>
  <c r="AF63" i="10"/>
  <c r="AG63" i="10"/>
  <c r="AH63" i="10"/>
  <c r="AI63" i="10"/>
  <c r="AJ63" i="10"/>
  <c r="B64" i="10"/>
  <c r="C64" i="10"/>
  <c r="D64" i="10"/>
  <c r="E64" i="10"/>
  <c r="F64" i="10"/>
  <c r="G64" i="10"/>
  <c r="H64" i="10"/>
  <c r="I64" i="10"/>
  <c r="J64" i="10"/>
  <c r="K64" i="10"/>
  <c r="L64" i="10"/>
  <c r="M64" i="10"/>
  <c r="N64" i="10"/>
  <c r="O64" i="10"/>
  <c r="P64" i="10"/>
  <c r="Q64" i="10"/>
  <c r="R64" i="10"/>
  <c r="S64" i="10"/>
  <c r="T64" i="10"/>
  <c r="U64" i="10"/>
  <c r="W64" i="10"/>
  <c r="Y64" i="10"/>
  <c r="AA64" i="10"/>
  <c r="AL64" i="10"/>
  <c r="AC64" i="10"/>
  <c r="AD64" i="10"/>
  <c r="AE64" i="10"/>
  <c r="AF64" i="10"/>
  <c r="AG64" i="10"/>
  <c r="AH64" i="10"/>
  <c r="AI64" i="10"/>
  <c r="AJ64" i="10"/>
  <c r="B65" i="10"/>
  <c r="C65" i="10"/>
  <c r="D65" i="10"/>
  <c r="E65" i="10"/>
  <c r="F65" i="10"/>
  <c r="G65" i="10"/>
  <c r="H65" i="10"/>
  <c r="I65" i="10"/>
  <c r="J65" i="10"/>
  <c r="K65" i="10"/>
  <c r="L65" i="10"/>
  <c r="M65" i="10"/>
  <c r="N65" i="10"/>
  <c r="O65" i="10"/>
  <c r="P65" i="10"/>
  <c r="Q65" i="10"/>
  <c r="R65" i="10"/>
  <c r="S65" i="10"/>
  <c r="T65" i="10"/>
  <c r="U65" i="10"/>
  <c r="W65" i="10"/>
  <c r="Y65" i="10"/>
  <c r="AA65" i="10"/>
  <c r="AL65" i="10"/>
  <c r="AM65" i="10" s="1"/>
  <c r="AC65" i="10"/>
  <c r="AD65" i="10"/>
  <c r="AE65" i="10"/>
  <c r="AF65" i="10"/>
  <c r="AG65" i="10"/>
  <c r="AH65" i="10"/>
  <c r="AI65" i="10"/>
  <c r="AJ65" i="10"/>
  <c r="B66" i="10"/>
  <c r="C66" i="10"/>
  <c r="D66" i="10"/>
  <c r="E66" i="10"/>
  <c r="F66" i="10"/>
  <c r="G66" i="10"/>
  <c r="H66" i="10"/>
  <c r="I66" i="10"/>
  <c r="J66" i="10"/>
  <c r="K66" i="10"/>
  <c r="L66" i="10"/>
  <c r="M66" i="10"/>
  <c r="N66" i="10"/>
  <c r="O66" i="10"/>
  <c r="P66" i="10"/>
  <c r="Q66" i="10"/>
  <c r="R66" i="10"/>
  <c r="S66" i="10"/>
  <c r="T66" i="10"/>
  <c r="U66" i="10"/>
  <c r="W66" i="10"/>
  <c r="Y66" i="10"/>
  <c r="AA66" i="10"/>
  <c r="AL66" i="10"/>
  <c r="AC66" i="10"/>
  <c r="AD66" i="10"/>
  <c r="AE66" i="10"/>
  <c r="AF66" i="10"/>
  <c r="AG66" i="10"/>
  <c r="AH66" i="10"/>
  <c r="AI66" i="10"/>
  <c r="AJ66" i="10"/>
  <c r="B67" i="10"/>
  <c r="C67" i="10"/>
  <c r="D67" i="10"/>
  <c r="E67" i="10"/>
  <c r="F67" i="10"/>
  <c r="G67" i="10"/>
  <c r="H67" i="10"/>
  <c r="I67" i="10"/>
  <c r="J67" i="10"/>
  <c r="K67" i="10"/>
  <c r="L67" i="10"/>
  <c r="M67" i="10"/>
  <c r="N67" i="10"/>
  <c r="O67" i="10"/>
  <c r="P67" i="10"/>
  <c r="Q67" i="10"/>
  <c r="R67" i="10"/>
  <c r="S67" i="10"/>
  <c r="T67" i="10"/>
  <c r="U67" i="10"/>
  <c r="W67" i="10"/>
  <c r="Y67" i="10"/>
  <c r="AA67" i="10"/>
  <c r="AL67" i="10"/>
  <c r="AC67" i="10"/>
  <c r="AD67" i="10"/>
  <c r="AE67" i="10"/>
  <c r="AF67" i="10"/>
  <c r="AG67" i="10"/>
  <c r="AH67" i="10"/>
  <c r="AI67" i="10"/>
  <c r="AJ67" i="10"/>
  <c r="B68" i="10"/>
  <c r="C68" i="10"/>
  <c r="D68" i="10"/>
  <c r="E68" i="10"/>
  <c r="F68" i="10"/>
  <c r="G68" i="10"/>
  <c r="H68" i="10"/>
  <c r="I68" i="10"/>
  <c r="J68" i="10"/>
  <c r="K68" i="10"/>
  <c r="L68" i="10"/>
  <c r="M68" i="10"/>
  <c r="N68" i="10"/>
  <c r="O68" i="10"/>
  <c r="P68" i="10"/>
  <c r="Q68" i="10"/>
  <c r="R68" i="10"/>
  <c r="S68" i="10"/>
  <c r="T68" i="10"/>
  <c r="U68" i="10"/>
  <c r="W68" i="10"/>
  <c r="Y68" i="10"/>
  <c r="AA68" i="10"/>
  <c r="AL68" i="10"/>
  <c r="AM68" i="10" s="1"/>
  <c r="AC68" i="10"/>
  <c r="AD68" i="10"/>
  <c r="AE68" i="10"/>
  <c r="AF68" i="10"/>
  <c r="AG68" i="10"/>
  <c r="AH68" i="10"/>
  <c r="AI68" i="10"/>
  <c r="AJ68" i="10"/>
  <c r="B69" i="10"/>
  <c r="C69" i="10"/>
  <c r="D69" i="10"/>
  <c r="E69" i="10"/>
  <c r="F69" i="10"/>
  <c r="G69" i="10"/>
  <c r="H69" i="10"/>
  <c r="I69" i="10"/>
  <c r="J69" i="10"/>
  <c r="K69" i="10"/>
  <c r="L69" i="10"/>
  <c r="M69" i="10"/>
  <c r="N69" i="10"/>
  <c r="O69" i="10"/>
  <c r="P69" i="10"/>
  <c r="Q69" i="10"/>
  <c r="R69" i="10"/>
  <c r="S69" i="10"/>
  <c r="T69" i="10"/>
  <c r="U69" i="10"/>
  <c r="W69" i="10"/>
  <c r="Y69" i="10"/>
  <c r="AA69" i="10"/>
  <c r="AL69" i="10"/>
  <c r="AM69" i="10" s="1"/>
  <c r="AC69" i="10"/>
  <c r="AD69" i="10"/>
  <c r="AE69" i="10"/>
  <c r="AF69" i="10"/>
  <c r="AG69" i="10"/>
  <c r="AH69" i="10"/>
  <c r="AI69" i="10"/>
  <c r="AJ69" i="10"/>
  <c r="B70" i="10"/>
  <c r="C70" i="10"/>
  <c r="D70" i="10"/>
  <c r="E70" i="10"/>
  <c r="F70" i="10"/>
  <c r="G70" i="10"/>
  <c r="H70" i="10"/>
  <c r="I70" i="10"/>
  <c r="J70" i="10"/>
  <c r="K70" i="10"/>
  <c r="L70" i="10"/>
  <c r="M70" i="10"/>
  <c r="N70" i="10"/>
  <c r="O70" i="10"/>
  <c r="P70" i="10"/>
  <c r="Q70" i="10"/>
  <c r="R70" i="10"/>
  <c r="S70" i="10"/>
  <c r="T70" i="10"/>
  <c r="U70" i="10"/>
  <c r="W70" i="10"/>
  <c r="Y70" i="10"/>
  <c r="AA70" i="10"/>
  <c r="AC70" i="10"/>
  <c r="AD70" i="10"/>
  <c r="AE70" i="10"/>
  <c r="AF70" i="10"/>
  <c r="AG70" i="10"/>
  <c r="AH70" i="10"/>
  <c r="AI70" i="10"/>
  <c r="AJ70" i="10"/>
  <c r="B71" i="10"/>
  <c r="C71" i="10"/>
  <c r="D71" i="10"/>
  <c r="E71" i="10"/>
  <c r="F71" i="10"/>
  <c r="G71" i="10"/>
  <c r="H71" i="10"/>
  <c r="I71" i="10"/>
  <c r="J71" i="10"/>
  <c r="K71" i="10"/>
  <c r="L71" i="10"/>
  <c r="M71" i="10"/>
  <c r="N71" i="10"/>
  <c r="O71" i="10"/>
  <c r="P71" i="10"/>
  <c r="Q71" i="10"/>
  <c r="R71" i="10"/>
  <c r="S71" i="10"/>
  <c r="T71" i="10"/>
  <c r="U71" i="10"/>
  <c r="W71" i="10"/>
  <c r="Y71" i="10"/>
  <c r="AA71" i="10"/>
  <c r="AC71" i="10"/>
  <c r="AD71" i="10"/>
  <c r="AE71" i="10"/>
  <c r="AF71" i="10"/>
  <c r="AG71" i="10"/>
  <c r="AH71" i="10"/>
  <c r="AI71" i="10"/>
  <c r="AJ71" i="10"/>
  <c r="B72" i="10"/>
  <c r="C72" i="10"/>
  <c r="D72" i="10"/>
  <c r="E72" i="10"/>
  <c r="F72" i="10"/>
  <c r="G72" i="10"/>
  <c r="H72" i="10"/>
  <c r="I72" i="10"/>
  <c r="J72" i="10"/>
  <c r="K72" i="10"/>
  <c r="L72" i="10"/>
  <c r="M72" i="10"/>
  <c r="N72" i="10"/>
  <c r="O72" i="10"/>
  <c r="P72" i="10"/>
  <c r="Q72" i="10"/>
  <c r="R72" i="10"/>
  <c r="S72" i="10"/>
  <c r="T72" i="10"/>
  <c r="U72" i="10"/>
  <c r="W72" i="10"/>
  <c r="Y72" i="10"/>
  <c r="AA72" i="10"/>
  <c r="AC72" i="10"/>
  <c r="AD72" i="10"/>
  <c r="AE72" i="10"/>
  <c r="AF72" i="10"/>
  <c r="AG72" i="10"/>
  <c r="AH72" i="10"/>
  <c r="AI72" i="10"/>
  <c r="AJ72" i="10"/>
  <c r="B73" i="10"/>
  <c r="C73" i="10"/>
  <c r="D73" i="10"/>
  <c r="E73" i="10"/>
  <c r="F73" i="10"/>
  <c r="G73" i="10"/>
  <c r="H73" i="10"/>
  <c r="I73" i="10"/>
  <c r="J73" i="10"/>
  <c r="K73" i="10"/>
  <c r="L73" i="10"/>
  <c r="M73" i="10"/>
  <c r="N73" i="10"/>
  <c r="O73" i="10"/>
  <c r="P73" i="10"/>
  <c r="Q73" i="10"/>
  <c r="R73" i="10"/>
  <c r="S73" i="10"/>
  <c r="T73" i="10"/>
  <c r="U73" i="10"/>
  <c r="W73" i="10"/>
  <c r="AM73" i="10"/>
  <c r="Y73" i="10"/>
  <c r="AA73" i="10"/>
  <c r="AC73" i="10"/>
  <c r="AD73" i="10"/>
  <c r="AE73" i="10"/>
  <c r="AF73" i="10"/>
  <c r="AG73" i="10"/>
  <c r="AH73" i="10"/>
  <c r="AI73" i="10"/>
  <c r="AJ73" i="10"/>
  <c r="B74" i="10"/>
  <c r="C74" i="10"/>
  <c r="D74" i="10"/>
  <c r="E74" i="10"/>
  <c r="F74" i="10"/>
  <c r="G74" i="10"/>
  <c r="H74" i="10"/>
  <c r="I74" i="10"/>
  <c r="J74" i="10"/>
  <c r="K74" i="10"/>
  <c r="L74" i="10"/>
  <c r="M74" i="10"/>
  <c r="N74" i="10"/>
  <c r="O74" i="10"/>
  <c r="P74" i="10"/>
  <c r="Q74" i="10"/>
  <c r="R74" i="10"/>
  <c r="S74" i="10"/>
  <c r="T74" i="10"/>
  <c r="U74" i="10"/>
  <c r="W74" i="10"/>
  <c r="Y74" i="10"/>
  <c r="AA74" i="10"/>
  <c r="AC74" i="10"/>
  <c r="AD74" i="10"/>
  <c r="AE74" i="10"/>
  <c r="AF74" i="10"/>
  <c r="AG74" i="10"/>
  <c r="AH74" i="10"/>
  <c r="AI74" i="10"/>
  <c r="AJ74" i="10"/>
  <c r="B75" i="10"/>
  <c r="C75" i="10"/>
  <c r="D75" i="10"/>
  <c r="E75" i="10"/>
  <c r="F75" i="10"/>
  <c r="G75" i="10"/>
  <c r="H75" i="10"/>
  <c r="I75" i="10"/>
  <c r="J75" i="10"/>
  <c r="K75" i="10"/>
  <c r="L75" i="10"/>
  <c r="M75" i="10"/>
  <c r="N75" i="10"/>
  <c r="O75" i="10"/>
  <c r="AX75" i="10" s="1"/>
  <c r="P75" i="10"/>
  <c r="Q75" i="10"/>
  <c r="R75" i="10"/>
  <c r="S75" i="10"/>
  <c r="T75" i="10"/>
  <c r="U75" i="10"/>
  <c r="W75" i="10"/>
  <c r="Y75" i="10"/>
  <c r="AA75" i="10"/>
  <c r="AC75" i="10"/>
  <c r="AD75" i="10"/>
  <c r="AE75" i="10"/>
  <c r="AF75" i="10"/>
  <c r="AG75" i="10"/>
  <c r="AH75" i="10"/>
  <c r="AI75" i="10"/>
  <c r="AJ75" i="10"/>
  <c r="B76" i="10"/>
  <c r="C76" i="10"/>
  <c r="D76" i="10"/>
  <c r="E76" i="10"/>
  <c r="F76" i="10"/>
  <c r="G76" i="10"/>
  <c r="H76" i="10"/>
  <c r="I76" i="10"/>
  <c r="J76" i="10"/>
  <c r="K76" i="10"/>
  <c r="L76" i="10"/>
  <c r="M76" i="10"/>
  <c r="N76" i="10"/>
  <c r="O76" i="10"/>
  <c r="P76" i="10"/>
  <c r="Q76" i="10"/>
  <c r="R76" i="10"/>
  <c r="S76" i="10"/>
  <c r="T76" i="10"/>
  <c r="U76" i="10"/>
  <c r="W76" i="10"/>
  <c r="AM76" i="10"/>
  <c r="Y76" i="10"/>
  <c r="AA76" i="10"/>
  <c r="AC76" i="10"/>
  <c r="AD76" i="10"/>
  <c r="AE76" i="10"/>
  <c r="AF76" i="10"/>
  <c r="AG76" i="10"/>
  <c r="AH76" i="10"/>
  <c r="AI76" i="10"/>
  <c r="AJ76" i="10"/>
  <c r="B77" i="10"/>
  <c r="C77" i="10"/>
  <c r="D77" i="10"/>
  <c r="E77" i="10"/>
  <c r="F77" i="10"/>
  <c r="G77" i="10"/>
  <c r="H77" i="10"/>
  <c r="I77" i="10"/>
  <c r="J77" i="10"/>
  <c r="K77" i="10"/>
  <c r="L77" i="10"/>
  <c r="M77" i="10"/>
  <c r="N77" i="10"/>
  <c r="O77" i="10"/>
  <c r="P77" i="10"/>
  <c r="Q77" i="10"/>
  <c r="R77" i="10"/>
  <c r="S77" i="10"/>
  <c r="T77" i="10"/>
  <c r="U77" i="10"/>
  <c r="W77" i="10"/>
  <c r="AM77" i="10"/>
  <c r="Y77" i="10"/>
  <c r="AA77" i="10"/>
  <c r="AC77" i="10"/>
  <c r="AD77" i="10"/>
  <c r="AE77" i="10"/>
  <c r="AF77" i="10"/>
  <c r="AG77" i="10"/>
  <c r="AH77" i="10"/>
  <c r="AI77" i="10"/>
  <c r="AJ77" i="10"/>
  <c r="B78" i="10"/>
  <c r="C78" i="10"/>
  <c r="D78" i="10"/>
  <c r="E78" i="10"/>
  <c r="F78" i="10"/>
  <c r="G78" i="10"/>
  <c r="H78" i="10"/>
  <c r="I78" i="10"/>
  <c r="J78" i="10"/>
  <c r="K78" i="10"/>
  <c r="L78" i="10"/>
  <c r="M78" i="10"/>
  <c r="N78" i="10"/>
  <c r="O78" i="10"/>
  <c r="P78" i="10"/>
  <c r="Q78" i="10"/>
  <c r="R78" i="10"/>
  <c r="S78" i="10"/>
  <c r="T78" i="10"/>
  <c r="U78" i="10"/>
  <c r="W78" i="10"/>
  <c r="Y78" i="10"/>
  <c r="AA78" i="10"/>
  <c r="AC78" i="10"/>
  <c r="AD78" i="10"/>
  <c r="AE78" i="10"/>
  <c r="AF78" i="10"/>
  <c r="AG78" i="10"/>
  <c r="AH78" i="10"/>
  <c r="AI78" i="10"/>
  <c r="AJ78" i="10"/>
  <c r="B79" i="10"/>
  <c r="C79" i="10"/>
  <c r="D79" i="10"/>
  <c r="E79" i="10"/>
  <c r="F79" i="10"/>
  <c r="G79" i="10"/>
  <c r="H79" i="10"/>
  <c r="I79" i="10"/>
  <c r="J79" i="10"/>
  <c r="K79" i="10"/>
  <c r="L79" i="10"/>
  <c r="M79" i="10"/>
  <c r="N79" i="10"/>
  <c r="O79" i="10"/>
  <c r="P79" i="10"/>
  <c r="Q79" i="10"/>
  <c r="R79" i="10"/>
  <c r="S79" i="10"/>
  <c r="T79" i="10"/>
  <c r="U79" i="10"/>
  <c r="W79" i="10"/>
  <c r="Y79" i="10"/>
  <c r="AA79" i="10"/>
  <c r="AC79" i="10"/>
  <c r="AD79" i="10"/>
  <c r="AE79" i="10"/>
  <c r="AF79" i="10"/>
  <c r="AG79" i="10"/>
  <c r="AH79" i="10"/>
  <c r="AI79" i="10"/>
  <c r="AJ79" i="10"/>
  <c r="B80" i="10"/>
  <c r="C80" i="10"/>
  <c r="D80" i="10"/>
  <c r="E80" i="10"/>
  <c r="F80" i="10"/>
  <c r="G80" i="10"/>
  <c r="H80" i="10"/>
  <c r="I80" i="10"/>
  <c r="J80" i="10"/>
  <c r="K80" i="10"/>
  <c r="L80" i="10"/>
  <c r="M80" i="10"/>
  <c r="N80" i="10"/>
  <c r="O80" i="10"/>
  <c r="P80" i="10"/>
  <c r="Q80" i="10"/>
  <c r="R80" i="10"/>
  <c r="S80" i="10"/>
  <c r="T80" i="10"/>
  <c r="U80" i="10"/>
  <c r="W80" i="10"/>
  <c r="AM80" i="10"/>
  <c r="Y80" i="10"/>
  <c r="AA80" i="10"/>
  <c r="AC80" i="10"/>
  <c r="AD80" i="10"/>
  <c r="AE80" i="10"/>
  <c r="AF80" i="10"/>
  <c r="AG80" i="10"/>
  <c r="AH80" i="10"/>
  <c r="AI80" i="10"/>
  <c r="AJ80" i="10"/>
  <c r="B81" i="10"/>
  <c r="C81" i="10"/>
  <c r="D81" i="10"/>
  <c r="E81" i="10"/>
  <c r="F81" i="10"/>
  <c r="G81" i="10"/>
  <c r="H81" i="10"/>
  <c r="I81" i="10"/>
  <c r="J81" i="10"/>
  <c r="K81" i="10"/>
  <c r="L81" i="10"/>
  <c r="M81" i="10"/>
  <c r="N81" i="10"/>
  <c r="O81" i="10"/>
  <c r="P81" i="10"/>
  <c r="Q81" i="10"/>
  <c r="R81" i="10"/>
  <c r="S81" i="10"/>
  <c r="T81" i="10"/>
  <c r="U81" i="10"/>
  <c r="W81" i="10"/>
  <c r="AM81" i="10"/>
  <c r="Y81" i="10"/>
  <c r="AA81" i="10"/>
  <c r="AC81" i="10"/>
  <c r="AD81" i="10"/>
  <c r="AE81" i="10"/>
  <c r="AF81" i="10"/>
  <c r="AG81" i="10"/>
  <c r="AH81" i="10"/>
  <c r="AI81" i="10"/>
  <c r="AJ81" i="10"/>
  <c r="B82" i="10"/>
  <c r="C82" i="10"/>
  <c r="D82" i="10"/>
  <c r="E82" i="10"/>
  <c r="F82" i="10"/>
  <c r="G82" i="10"/>
  <c r="H82" i="10"/>
  <c r="I82" i="10"/>
  <c r="J82" i="10"/>
  <c r="K82" i="10"/>
  <c r="L82" i="10"/>
  <c r="M82" i="10"/>
  <c r="N82" i="10"/>
  <c r="O82" i="10"/>
  <c r="P82" i="10"/>
  <c r="Q82" i="10"/>
  <c r="R82" i="10"/>
  <c r="S82" i="10"/>
  <c r="T82" i="10"/>
  <c r="U82" i="10"/>
  <c r="W82" i="10"/>
  <c r="Y82" i="10"/>
  <c r="AA82" i="10"/>
  <c r="AC82" i="10"/>
  <c r="AD82" i="10"/>
  <c r="AE82" i="10"/>
  <c r="AF82" i="10"/>
  <c r="AG82" i="10"/>
  <c r="AH82" i="10"/>
  <c r="AI82" i="10"/>
  <c r="AJ82" i="10"/>
  <c r="B83" i="10"/>
  <c r="C83" i="10"/>
  <c r="D83" i="10"/>
  <c r="E83" i="10"/>
  <c r="F83" i="10"/>
  <c r="G83" i="10"/>
  <c r="H83" i="10"/>
  <c r="I83" i="10"/>
  <c r="J83" i="10"/>
  <c r="K83" i="10"/>
  <c r="L83" i="10"/>
  <c r="M83" i="10"/>
  <c r="N83" i="10"/>
  <c r="O83" i="10"/>
  <c r="P83" i="10"/>
  <c r="Q83" i="10"/>
  <c r="R83" i="10"/>
  <c r="S83" i="10"/>
  <c r="T83" i="10"/>
  <c r="U83" i="10"/>
  <c r="W83" i="10"/>
  <c r="Y83" i="10"/>
  <c r="AA83" i="10"/>
  <c r="AC83" i="10"/>
  <c r="AD83" i="10"/>
  <c r="AE83" i="10"/>
  <c r="AF83" i="10"/>
  <c r="AG83" i="10"/>
  <c r="AH83" i="10"/>
  <c r="AI83" i="10"/>
  <c r="AJ83" i="10"/>
  <c r="B84" i="10"/>
  <c r="C84" i="10"/>
  <c r="D84" i="10"/>
  <c r="E84" i="10"/>
  <c r="F84" i="10"/>
  <c r="G84" i="10"/>
  <c r="H84" i="10"/>
  <c r="I84" i="10"/>
  <c r="J84" i="10"/>
  <c r="K84" i="10"/>
  <c r="L84" i="10"/>
  <c r="M84" i="10"/>
  <c r="N84" i="10"/>
  <c r="O84" i="10"/>
  <c r="P84" i="10"/>
  <c r="Q84" i="10"/>
  <c r="R84" i="10"/>
  <c r="S84" i="10"/>
  <c r="T84" i="10"/>
  <c r="U84" i="10"/>
  <c r="W84" i="10"/>
  <c r="AM84" i="10"/>
  <c r="Y84" i="10"/>
  <c r="AA84" i="10"/>
  <c r="AC84" i="10"/>
  <c r="AD84" i="10"/>
  <c r="AE84" i="10"/>
  <c r="AF84" i="10"/>
  <c r="AG84" i="10"/>
  <c r="AH84" i="10"/>
  <c r="AI84" i="10"/>
  <c r="AJ84" i="10"/>
  <c r="B85" i="10"/>
  <c r="C85" i="10"/>
  <c r="D85" i="10"/>
  <c r="E85" i="10"/>
  <c r="F85" i="10"/>
  <c r="G85" i="10"/>
  <c r="H85" i="10"/>
  <c r="I85" i="10"/>
  <c r="J85" i="10"/>
  <c r="K85" i="10"/>
  <c r="L85" i="10"/>
  <c r="M85" i="10"/>
  <c r="N85" i="10"/>
  <c r="O85" i="10"/>
  <c r="P85" i="10"/>
  <c r="Q85" i="10"/>
  <c r="R85" i="10"/>
  <c r="S85" i="10"/>
  <c r="T85" i="10"/>
  <c r="U85" i="10"/>
  <c r="W85" i="10"/>
  <c r="AM85" i="10"/>
  <c r="Y85" i="10"/>
  <c r="AA85" i="10"/>
  <c r="AC85" i="10"/>
  <c r="AD85" i="10"/>
  <c r="AE85" i="10"/>
  <c r="AF85" i="10"/>
  <c r="AG85" i="10"/>
  <c r="AH85" i="10"/>
  <c r="AI85" i="10"/>
  <c r="AJ85" i="10"/>
  <c r="B86" i="10"/>
  <c r="C86" i="10"/>
  <c r="D86" i="10"/>
  <c r="E86" i="10"/>
  <c r="F86" i="10"/>
  <c r="G86" i="10"/>
  <c r="H86" i="10"/>
  <c r="I86" i="10"/>
  <c r="J86" i="10"/>
  <c r="K86" i="10"/>
  <c r="L86" i="10"/>
  <c r="M86" i="10"/>
  <c r="N86" i="10"/>
  <c r="O86" i="10"/>
  <c r="P86" i="10"/>
  <c r="Q86" i="10"/>
  <c r="R86" i="10"/>
  <c r="S86" i="10"/>
  <c r="T86" i="10"/>
  <c r="U86" i="10"/>
  <c r="W86" i="10"/>
  <c r="Y86" i="10"/>
  <c r="AA86" i="10"/>
  <c r="AC86" i="10"/>
  <c r="AD86" i="10"/>
  <c r="AE86" i="10"/>
  <c r="AF86" i="10"/>
  <c r="AG86" i="10"/>
  <c r="AH86" i="10"/>
  <c r="AI86" i="10"/>
  <c r="AJ86" i="10"/>
  <c r="B87" i="10"/>
  <c r="C87" i="10"/>
  <c r="D87" i="10"/>
  <c r="E87" i="10"/>
  <c r="F87" i="10"/>
  <c r="G87" i="10"/>
  <c r="H87" i="10"/>
  <c r="I87" i="10"/>
  <c r="J87" i="10"/>
  <c r="K87" i="10"/>
  <c r="L87" i="10"/>
  <c r="M87" i="10"/>
  <c r="N87" i="10"/>
  <c r="O87" i="10"/>
  <c r="P87" i="10"/>
  <c r="Q87" i="10"/>
  <c r="R87" i="10"/>
  <c r="S87" i="10"/>
  <c r="T87" i="10"/>
  <c r="U87" i="10"/>
  <c r="W87" i="10"/>
  <c r="Y87" i="10"/>
  <c r="AA87" i="10"/>
  <c r="AC87" i="10"/>
  <c r="AD87" i="10"/>
  <c r="AE87" i="10"/>
  <c r="AF87" i="10"/>
  <c r="AG87" i="10"/>
  <c r="AH87" i="10"/>
  <c r="AI87" i="10"/>
  <c r="AJ87" i="10"/>
  <c r="B88" i="10"/>
  <c r="C88" i="10"/>
  <c r="D88" i="10"/>
  <c r="E88" i="10"/>
  <c r="F88" i="10"/>
  <c r="G88" i="10"/>
  <c r="H88" i="10"/>
  <c r="I88" i="10"/>
  <c r="J88" i="10"/>
  <c r="K88" i="10"/>
  <c r="L88" i="10"/>
  <c r="M88" i="10"/>
  <c r="N88" i="10"/>
  <c r="O88" i="10"/>
  <c r="P88" i="10"/>
  <c r="Q88" i="10"/>
  <c r="R88" i="10"/>
  <c r="S88" i="10"/>
  <c r="T88" i="10"/>
  <c r="U88" i="10"/>
  <c r="W88" i="10"/>
  <c r="AM88" i="10"/>
  <c r="Y88" i="10"/>
  <c r="AA88" i="10"/>
  <c r="AC88" i="10"/>
  <c r="AD88" i="10"/>
  <c r="AE88" i="10"/>
  <c r="AF88" i="10"/>
  <c r="AG88" i="10"/>
  <c r="AH88" i="10"/>
  <c r="AI88" i="10"/>
  <c r="AJ88" i="10"/>
  <c r="B89" i="10"/>
  <c r="C89" i="10"/>
  <c r="D89" i="10"/>
  <c r="E89" i="10"/>
  <c r="F89" i="10"/>
  <c r="G89" i="10"/>
  <c r="H89" i="10"/>
  <c r="I89" i="10"/>
  <c r="J89" i="10"/>
  <c r="K89" i="10"/>
  <c r="L89" i="10"/>
  <c r="M89" i="10"/>
  <c r="N89" i="10"/>
  <c r="O89" i="10"/>
  <c r="P89" i="10"/>
  <c r="Q89" i="10"/>
  <c r="R89" i="10"/>
  <c r="S89" i="10"/>
  <c r="T89" i="10"/>
  <c r="U89" i="10"/>
  <c r="W89" i="10"/>
  <c r="AM89" i="10"/>
  <c r="Y89" i="10"/>
  <c r="AA89" i="10"/>
  <c r="AC89" i="10"/>
  <c r="AD89" i="10"/>
  <c r="AE89" i="10"/>
  <c r="AF89" i="10"/>
  <c r="AG89" i="10"/>
  <c r="AH89" i="10"/>
  <c r="AI89" i="10"/>
  <c r="AJ89" i="10"/>
  <c r="B90" i="10"/>
  <c r="C90" i="10"/>
  <c r="D90" i="10"/>
  <c r="E90" i="10"/>
  <c r="F90" i="10"/>
  <c r="G90" i="10"/>
  <c r="H90" i="10"/>
  <c r="I90" i="10"/>
  <c r="J90" i="10"/>
  <c r="K90" i="10"/>
  <c r="L90" i="10"/>
  <c r="M90" i="10"/>
  <c r="N90" i="10"/>
  <c r="O90" i="10"/>
  <c r="P90" i="10"/>
  <c r="Q90" i="10"/>
  <c r="R90" i="10"/>
  <c r="S90" i="10"/>
  <c r="T90" i="10"/>
  <c r="U90" i="10"/>
  <c r="W90" i="10"/>
  <c r="Y90" i="10"/>
  <c r="AA90" i="10"/>
  <c r="AC90" i="10"/>
  <c r="AD90" i="10"/>
  <c r="AE90" i="10"/>
  <c r="AF90" i="10"/>
  <c r="AG90" i="10"/>
  <c r="AH90" i="10"/>
  <c r="AI90" i="10"/>
  <c r="AJ90" i="10"/>
  <c r="B91" i="10"/>
  <c r="C91" i="10"/>
  <c r="D91" i="10"/>
  <c r="E91" i="10"/>
  <c r="F91" i="10"/>
  <c r="G91" i="10"/>
  <c r="H91" i="10"/>
  <c r="I91" i="10"/>
  <c r="J91" i="10"/>
  <c r="K91" i="10"/>
  <c r="L91" i="10"/>
  <c r="M91" i="10"/>
  <c r="N91" i="10"/>
  <c r="O91" i="10"/>
  <c r="P91" i="10"/>
  <c r="Q91" i="10"/>
  <c r="R91" i="10"/>
  <c r="S91" i="10"/>
  <c r="T91" i="10"/>
  <c r="U91" i="10"/>
  <c r="W91" i="10"/>
  <c r="Y91" i="10"/>
  <c r="AA91" i="10"/>
  <c r="AC91" i="10"/>
  <c r="AD91" i="10"/>
  <c r="AE91" i="10"/>
  <c r="AF91" i="10"/>
  <c r="AG91" i="10"/>
  <c r="AH91" i="10"/>
  <c r="AI91" i="10"/>
  <c r="AJ91" i="10"/>
  <c r="B92" i="10"/>
  <c r="C92" i="10"/>
  <c r="D92" i="10"/>
  <c r="E92" i="10"/>
  <c r="F92" i="10"/>
  <c r="G92" i="10"/>
  <c r="H92" i="10"/>
  <c r="I92" i="10"/>
  <c r="J92" i="10"/>
  <c r="K92" i="10"/>
  <c r="L92" i="10"/>
  <c r="M92" i="10"/>
  <c r="N92" i="10"/>
  <c r="O92" i="10"/>
  <c r="P92" i="10"/>
  <c r="Q92" i="10"/>
  <c r="R92" i="10"/>
  <c r="S92" i="10"/>
  <c r="T92" i="10"/>
  <c r="U92" i="10"/>
  <c r="W92" i="10"/>
  <c r="AM92" i="10"/>
  <c r="Y92" i="10"/>
  <c r="AA92" i="10"/>
  <c r="AC92" i="10"/>
  <c r="AD92" i="10"/>
  <c r="AE92" i="10"/>
  <c r="AF92" i="10"/>
  <c r="AG92" i="10"/>
  <c r="AH92" i="10"/>
  <c r="AI92" i="10"/>
  <c r="AJ92" i="10"/>
  <c r="B93" i="10"/>
  <c r="C93" i="10"/>
  <c r="D93" i="10"/>
  <c r="E93" i="10"/>
  <c r="F93" i="10"/>
  <c r="G93" i="10"/>
  <c r="H93" i="10"/>
  <c r="I93" i="10"/>
  <c r="J93" i="10"/>
  <c r="K93" i="10"/>
  <c r="L93" i="10"/>
  <c r="M93" i="10"/>
  <c r="N93" i="10"/>
  <c r="O93" i="10"/>
  <c r="P93" i="10"/>
  <c r="Q93" i="10"/>
  <c r="R93" i="10"/>
  <c r="S93" i="10"/>
  <c r="T93" i="10"/>
  <c r="U93" i="10"/>
  <c r="W93" i="10"/>
  <c r="AM93" i="10"/>
  <c r="Y93" i="10"/>
  <c r="AA93" i="10"/>
  <c r="AC93" i="10"/>
  <c r="AD93" i="10"/>
  <c r="AE93" i="10"/>
  <c r="AF93" i="10"/>
  <c r="AG93" i="10"/>
  <c r="AH93" i="10"/>
  <c r="AI93" i="10"/>
  <c r="AJ93" i="10"/>
  <c r="B94" i="10"/>
  <c r="C94" i="10"/>
  <c r="D94" i="10"/>
  <c r="E94" i="10"/>
  <c r="F94" i="10"/>
  <c r="G94" i="10"/>
  <c r="H94" i="10"/>
  <c r="I94" i="10"/>
  <c r="J94" i="10"/>
  <c r="K94" i="10"/>
  <c r="L94" i="10"/>
  <c r="M94" i="10"/>
  <c r="N94" i="10"/>
  <c r="O94" i="10"/>
  <c r="P94" i="10"/>
  <c r="Q94" i="10"/>
  <c r="R94" i="10"/>
  <c r="S94" i="10"/>
  <c r="T94" i="10"/>
  <c r="U94" i="10"/>
  <c r="W94" i="10"/>
  <c r="Y94" i="10"/>
  <c r="AA94" i="10"/>
  <c r="AC94" i="10"/>
  <c r="AD94" i="10"/>
  <c r="AE94" i="10"/>
  <c r="AF94" i="10"/>
  <c r="AG94" i="10"/>
  <c r="AH94" i="10"/>
  <c r="AI94" i="10"/>
  <c r="AJ94" i="10"/>
  <c r="B95" i="10"/>
  <c r="C95" i="10"/>
  <c r="D95" i="10"/>
  <c r="E95" i="10"/>
  <c r="F95" i="10"/>
  <c r="G95" i="10"/>
  <c r="H95" i="10"/>
  <c r="I95" i="10"/>
  <c r="J95" i="10"/>
  <c r="K95" i="10"/>
  <c r="L95" i="10"/>
  <c r="M95" i="10"/>
  <c r="N95" i="10"/>
  <c r="O95" i="10"/>
  <c r="AX95" i="10" s="1"/>
  <c r="P95" i="10"/>
  <c r="Q95" i="10"/>
  <c r="R95" i="10"/>
  <c r="S95" i="10"/>
  <c r="T95" i="10"/>
  <c r="U95" i="10"/>
  <c r="W95" i="10"/>
  <c r="Y95" i="10"/>
  <c r="AA95" i="10"/>
  <c r="AC95" i="10"/>
  <c r="AD95" i="10"/>
  <c r="AE95" i="10"/>
  <c r="AF95" i="10"/>
  <c r="AG95" i="10"/>
  <c r="AH95" i="10"/>
  <c r="AI95" i="10"/>
  <c r="AJ95" i="10"/>
  <c r="B96" i="10"/>
  <c r="C96" i="10"/>
  <c r="D96" i="10"/>
  <c r="E96" i="10"/>
  <c r="F96" i="10"/>
  <c r="G96" i="10"/>
  <c r="H96" i="10"/>
  <c r="I96" i="10"/>
  <c r="J96" i="10"/>
  <c r="K96" i="10"/>
  <c r="L96" i="10"/>
  <c r="M96" i="10"/>
  <c r="N96" i="10"/>
  <c r="O96" i="10"/>
  <c r="AX96" i="10" s="1"/>
  <c r="P96" i="10"/>
  <c r="Q96" i="10"/>
  <c r="R96" i="10"/>
  <c r="S96" i="10"/>
  <c r="T96" i="10"/>
  <c r="U96" i="10"/>
  <c r="W96" i="10"/>
  <c r="AM96" i="10"/>
  <c r="Y96" i="10"/>
  <c r="AA96" i="10"/>
  <c r="AC96" i="10"/>
  <c r="AD96" i="10"/>
  <c r="AE96" i="10"/>
  <c r="AF96" i="10"/>
  <c r="AG96" i="10"/>
  <c r="AH96" i="10"/>
  <c r="AI96" i="10"/>
  <c r="AJ96" i="10"/>
  <c r="B97" i="10"/>
  <c r="C97" i="10"/>
  <c r="D97" i="10"/>
  <c r="E97" i="10"/>
  <c r="F97" i="10"/>
  <c r="G97" i="10"/>
  <c r="H97" i="10"/>
  <c r="I97" i="10"/>
  <c r="J97" i="10"/>
  <c r="K97" i="10"/>
  <c r="L97" i="10"/>
  <c r="M97" i="10"/>
  <c r="N97" i="10"/>
  <c r="O97" i="10"/>
  <c r="P97" i="10"/>
  <c r="Q97" i="10"/>
  <c r="R97" i="10"/>
  <c r="S97" i="10"/>
  <c r="T97" i="10"/>
  <c r="U97" i="10"/>
  <c r="W97" i="10"/>
  <c r="AM97" i="10"/>
  <c r="Y97" i="10"/>
  <c r="AA97" i="10"/>
  <c r="AC97" i="10"/>
  <c r="AD97" i="10"/>
  <c r="AE97" i="10"/>
  <c r="AF97" i="10"/>
  <c r="AG97" i="10"/>
  <c r="AH97" i="10"/>
  <c r="AI97" i="10"/>
  <c r="AJ97" i="10"/>
  <c r="B98" i="10"/>
  <c r="C98" i="10"/>
  <c r="D98" i="10"/>
  <c r="E98" i="10"/>
  <c r="F98" i="10"/>
  <c r="G98" i="10"/>
  <c r="H98" i="10"/>
  <c r="I98" i="10"/>
  <c r="J98" i="10"/>
  <c r="K98" i="10"/>
  <c r="L98" i="10"/>
  <c r="M98" i="10"/>
  <c r="N98" i="10"/>
  <c r="O98" i="10"/>
  <c r="P98" i="10"/>
  <c r="Q98" i="10"/>
  <c r="R98" i="10"/>
  <c r="S98" i="10"/>
  <c r="T98" i="10"/>
  <c r="U98" i="10"/>
  <c r="W98" i="10"/>
  <c r="Y98" i="10"/>
  <c r="AA98" i="10"/>
  <c r="AC98" i="10"/>
  <c r="AD98" i="10"/>
  <c r="AE98" i="10"/>
  <c r="AF98" i="10"/>
  <c r="AG98" i="10"/>
  <c r="AH98" i="10"/>
  <c r="AI98" i="10"/>
  <c r="AJ98" i="10"/>
  <c r="B99" i="10"/>
  <c r="C99" i="10"/>
  <c r="D99" i="10"/>
  <c r="E99" i="10"/>
  <c r="F99" i="10"/>
  <c r="G99" i="10"/>
  <c r="H99" i="10"/>
  <c r="I99" i="10"/>
  <c r="J99" i="10"/>
  <c r="K99" i="10"/>
  <c r="L99" i="10"/>
  <c r="M99" i="10"/>
  <c r="N99" i="10"/>
  <c r="O99" i="10"/>
  <c r="P99" i="10"/>
  <c r="Q99" i="10"/>
  <c r="R99" i="10"/>
  <c r="S99" i="10"/>
  <c r="T99" i="10"/>
  <c r="U99" i="10"/>
  <c r="W99" i="10"/>
  <c r="Y99" i="10"/>
  <c r="AA99" i="10"/>
  <c r="AC99" i="10"/>
  <c r="AD99" i="10"/>
  <c r="AE99" i="10"/>
  <c r="AF99" i="10"/>
  <c r="AG99" i="10"/>
  <c r="AH99" i="10"/>
  <c r="AI99" i="10"/>
  <c r="AJ99" i="10"/>
  <c r="B100" i="10"/>
  <c r="C100" i="10"/>
  <c r="D100" i="10"/>
  <c r="E100" i="10"/>
  <c r="F100" i="10"/>
  <c r="G100" i="10"/>
  <c r="H100" i="10"/>
  <c r="I100" i="10"/>
  <c r="J100" i="10"/>
  <c r="K100" i="10"/>
  <c r="L100" i="10"/>
  <c r="M100" i="10"/>
  <c r="N100" i="10"/>
  <c r="O100" i="10"/>
  <c r="P100" i="10"/>
  <c r="Q100" i="10"/>
  <c r="R100" i="10"/>
  <c r="S100" i="10"/>
  <c r="T100" i="10"/>
  <c r="U100" i="10"/>
  <c r="W100" i="10"/>
  <c r="AM100" i="10"/>
  <c r="Y100" i="10"/>
  <c r="AA100" i="10"/>
  <c r="AC100" i="10"/>
  <c r="AD100" i="10"/>
  <c r="AE100" i="10"/>
  <c r="AF100" i="10"/>
  <c r="AG100" i="10"/>
  <c r="AH100" i="10"/>
  <c r="AI100" i="10"/>
  <c r="AJ100" i="10"/>
  <c r="A91" i="10"/>
  <c r="A92" i="10"/>
  <c r="A93" i="10"/>
  <c r="A94" i="10"/>
  <c r="A95" i="10"/>
  <c r="A96" i="10"/>
  <c r="A97" i="10"/>
  <c r="A98" i="10"/>
  <c r="A99" i="10"/>
  <c r="A100" i="10"/>
  <c r="A88" i="10"/>
  <c r="A89" i="10"/>
  <c r="A90" i="10"/>
  <c r="A70" i="10"/>
  <c r="A71" i="10"/>
  <c r="A72" i="10"/>
  <c r="A73" i="10"/>
  <c r="A74" i="10"/>
  <c r="A75" i="10"/>
  <c r="A76" i="10"/>
  <c r="A77" i="10"/>
  <c r="A78" i="10"/>
  <c r="A79" i="10"/>
  <c r="A80" i="10"/>
  <c r="A81" i="10"/>
  <c r="A82" i="10"/>
  <c r="A83" i="10"/>
  <c r="A84" i="10"/>
  <c r="A85" i="10"/>
  <c r="A86" i="10"/>
  <c r="A87" i="10"/>
  <c r="A54" i="10"/>
  <c r="A55" i="10"/>
  <c r="A56" i="10"/>
  <c r="A57" i="10"/>
  <c r="A58" i="10"/>
  <c r="A59" i="10"/>
  <c r="A60" i="10"/>
  <c r="A61" i="10"/>
  <c r="A62" i="10"/>
  <c r="A63" i="10"/>
  <c r="A64" i="10"/>
  <c r="A65" i="10"/>
  <c r="A66" i="10"/>
  <c r="A67" i="10"/>
  <c r="A68" i="10"/>
  <c r="A69" i="10"/>
  <c r="A31" i="10"/>
  <c r="A32" i="10"/>
  <c r="A33" i="10"/>
  <c r="A34" i="10"/>
  <c r="A35" i="10"/>
  <c r="A36" i="10"/>
  <c r="A37" i="10"/>
  <c r="A38" i="10"/>
  <c r="A39" i="10"/>
  <c r="A40" i="10"/>
  <c r="A41" i="10"/>
  <c r="A42" i="10"/>
  <c r="A43" i="10"/>
  <c r="A44" i="10"/>
  <c r="A45" i="10"/>
  <c r="A46" i="10"/>
  <c r="A47" i="10"/>
  <c r="A48" i="10"/>
  <c r="A49" i="10"/>
  <c r="A50" i="10"/>
  <c r="A51" i="10"/>
  <c r="A52" i="10"/>
  <c r="A53" i="10"/>
  <c r="A12" i="10"/>
  <c r="A13" i="10"/>
  <c r="A14" i="10"/>
  <c r="A15" i="10"/>
  <c r="A16" i="10"/>
  <c r="A17" i="10"/>
  <c r="A18" i="10"/>
  <c r="A19" i="10"/>
  <c r="A20" i="10"/>
  <c r="A21" i="10"/>
  <c r="A22" i="10"/>
  <c r="A23" i="10"/>
  <c r="A24" i="10"/>
  <c r="A25" i="10"/>
  <c r="A26" i="10"/>
  <c r="A27" i="10"/>
  <c r="A28" i="10"/>
  <c r="A29" i="10"/>
  <c r="A30" i="10"/>
  <c r="A11"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10" i="10"/>
  <c r="AX91" i="10" l="1"/>
  <c r="AX99" i="10"/>
  <c r="AN96" i="10"/>
  <c r="AX83" i="10"/>
  <c r="AX100" i="10"/>
  <c r="AX92" i="10"/>
  <c r="AX84" i="10"/>
  <c r="B19" i="12"/>
  <c r="L19" i="12"/>
  <c r="C19" i="12"/>
  <c r="G19" i="12" s="1"/>
  <c r="K19" i="12"/>
  <c r="R19" i="12" s="1"/>
  <c r="AN100" i="10"/>
  <c r="AN92" i="10"/>
  <c r="AX60" i="10"/>
  <c r="AX76" i="10"/>
  <c r="AX71" i="10"/>
  <c r="L15" i="22"/>
  <c r="C13" i="22"/>
  <c r="J13" i="22" s="1"/>
  <c r="L13" i="22"/>
  <c r="S13" i="22" s="1"/>
  <c r="M13" i="22"/>
  <c r="D13" i="22"/>
  <c r="AN80" i="10"/>
  <c r="AX87" i="10"/>
  <c r="AN84" i="10"/>
  <c r="AX79" i="10"/>
  <c r="AN76" i="10"/>
  <c r="AX72" i="10"/>
  <c r="AN88" i="10"/>
  <c r="AX88" i="10"/>
  <c r="AX80" i="10"/>
  <c r="AN72" i="10"/>
  <c r="D13" i="14"/>
  <c r="J16" i="14"/>
  <c r="L15" i="14"/>
  <c r="S15" i="14" s="1"/>
  <c r="L11" i="14"/>
  <c r="N15" i="14"/>
  <c r="D11" i="14"/>
  <c r="M11" i="14"/>
  <c r="C11" i="14"/>
  <c r="C15" i="14"/>
  <c r="J15" i="14" s="1"/>
  <c r="M15" i="14"/>
  <c r="E11" i="14"/>
  <c r="D15" i="14"/>
  <c r="L13" i="14"/>
  <c r="S13" i="14" s="1"/>
  <c r="N11" i="14"/>
  <c r="C13" i="14"/>
  <c r="E15" i="14"/>
  <c r="M13" i="14"/>
  <c r="S16" i="14"/>
  <c r="AX68" i="10"/>
  <c r="AX67" i="10"/>
  <c r="AX64" i="10"/>
  <c r="AX63" i="10"/>
  <c r="B16" i="12"/>
  <c r="I16" i="12" s="1"/>
  <c r="K16" i="12"/>
  <c r="R16" i="12" s="1"/>
  <c r="AL20" i="10"/>
  <c r="AM20" i="10" s="1"/>
  <c r="AX56" i="10"/>
  <c r="AX55" i="10"/>
  <c r="AL44" i="10"/>
  <c r="AM44" i="10" s="1"/>
  <c r="AL32" i="10"/>
  <c r="AM32" i="10" s="1"/>
  <c r="AL16" i="10"/>
  <c r="AX51" i="10"/>
  <c r="AL13" i="10"/>
  <c r="AM13" i="10" s="1"/>
  <c r="J13" i="14"/>
  <c r="B13" i="12"/>
  <c r="I13" i="12" s="1"/>
  <c r="L13" i="12"/>
  <c r="K13" i="12"/>
  <c r="R13" i="12" s="1"/>
  <c r="C13" i="12"/>
  <c r="AX52" i="10"/>
  <c r="AL40" i="10"/>
  <c r="AM40" i="10" s="1"/>
  <c r="AL31" i="10"/>
  <c r="AM31" i="10" s="1"/>
  <c r="AL28" i="10"/>
  <c r="AM28" i="10" s="1"/>
  <c r="AL15" i="10"/>
  <c r="AM11" i="10"/>
  <c r="AX43" i="10"/>
  <c r="AX44" i="10"/>
  <c r="AK41" i="10"/>
  <c r="AL41" i="10" s="1"/>
  <c r="AM41" i="10" s="1"/>
  <c r="AX40" i="10"/>
  <c r="AK37" i="10"/>
  <c r="AL37" i="10" s="1"/>
  <c r="AM37" i="10" s="1"/>
  <c r="AX36" i="10"/>
  <c r="AK33" i="10"/>
  <c r="AL33" i="10" s="1"/>
  <c r="AM33" i="10" s="1"/>
  <c r="AX32" i="10"/>
  <c r="AK29" i="10"/>
  <c r="AL29" i="10" s="1"/>
  <c r="AM29" i="10" s="1"/>
  <c r="AN16" i="10"/>
  <c r="AX39" i="10"/>
  <c r="AX35" i="10"/>
  <c r="AX31" i="10"/>
  <c r="AX26" i="10"/>
  <c r="AK23" i="10"/>
  <c r="AX21" i="10"/>
  <c r="AK19" i="10"/>
  <c r="AL19" i="10" s="1"/>
  <c r="AM19" i="10" s="1"/>
  <c r="AK18" i="10"/>
  <c r="AL18" i="10" s="1"/>
  <c r="AM18" i="10" s="1"/>
  <c r="AK17" i="10"/>
  <c r="AL17" i="10" s="1"/>
  <c r="AM17" i="10" s="1"/>
  <c r="AX14" i="10"/>
  <c r="AK12" i="10"/>
  <c r="AK27" i="10"/>
  <c r="AL27" i="10" s="1"/>
  <c r="AM27" i="10" s="1"/>
  <c r="AK26" i="10"/>
  <c r="AL26" i="10" s="1"/>
  <c r="AM26" i="10" s="1"/>
  <c r="AN25" i="10"/>
  <c r="AX18" i="10"/>
  <c r="AX16" i="10"/>
  <c r="AK14" i="10"/>
  <c r="AL14" i="10" s="1"/>
  <c r="AM14" i="10" s="1"/>
  <c r="AN13" i="10"/>
  <c r="AX12" i="10"/>
  <c r="S11" i="14"/>
  <c r="J12" i="14"/>
  <c r="AM72" i="10"/>
  <c r="AM64" i="10"/>
  <c r="AM60" i="10"/>
  <c r="AM56" i="10"/>
  <c r="AM52" i="10"/>
  <c r="AM48" i="10"/>
  <c r="AM36" i="10"/>
  <c r="AM98" i="10"/>
  <c r="AX97" i="10"/>
  <c r="AM94" i="10"/>
  <c r="AX93" i="10"/>
  <c r="AM90" i="10"/>
  <c r="AX89" i="10"/>
  <c r="AM86" i="10"/>
  <c r="AX85" i="10"/>
  <c r="AM82" i="10"/>
  <c r="AX81" i="10"/>
  <c r="AM78" i="10"/>
  <c r="AX77" i="10"/>
  <c r="AM74" i="10"/>
  <c r="AX73" i="10"/>
  <c r="AM70" i="10"/>
  <c r="AX69" i="10"/>
  <c r="AN68" i="10"/>
  <c r="AM66" i="10"/>
  <c r="AX65" i="10"/>
  <c r="AN64" i="10"/>
  <c r="AM62" i="10"/>
  <c r="AX61" i="10"/>
  <c r="AN60" i="10"/>
  <c r="AM58" i="10"/>
  <c r="AX57" i="10"/>
  <c r="AN56" i="10"/>
  <c r="AM54" i="10"/>
  <c r="AX53" i="10"/>
  <c r="AN52" i="10"/>
  <c r="AM50" i="10"/>
  <c r="AX49" i="10"/>
  <c r="AN48" i="10"/>
  <c r="AM46" i="10"/>
  <c r="AX45" i="10"/>
  <c r="AN44" i="10"/>
  <c r="AM42" i="10"/>
  <c r="AX41" i="10"/>
  <c r="AN40" i="10"/>
  <c r="AM38" i="10"/>
  <c r="AX37" i="10"/>
  <c r="AN36" i="10"/>
  <c r="AM34" i="10"/>
  <c r="AX33" i="10"/>
  <c r="AN32" i="10"/>
  <c r="AM30" i="10"/>
  <c r="AX29" i="10"/>
  <c r="AX22" i="10"/>
  <c r="AX19" i="10"/>
  <c r="AX17" i="10"/>
  <c r="AM15" i="10"/>
  <c r="AM99" i="10"/>
  <c r="AX98" i="10"/>
  <c r="AN97" i="10"/>
  <c r="AM95" i="10"/>
  <c r="AX94" i="10"/>
  <c r="AN93" i="10"/>
  <c r="AM91" i="10"/>
  <c r="AX90" i="10"/>
  <c r="AN89" i="10"/>
  <c r="AM87" i="10"/>
  <c r="AX86" i="10"/>
  <c r="AN85" i="10"/>
  <c r="AM83" i="10"/>
  <c r="AX82" i="10"/>
  <c r="AN81" i="10"/>
  <c r="AM79" i="10"/>
  <c r="AX78" i="10"/>
  <c r="AN77" i="10"/>
  <c r="AM75" i="10"/>
  <c r="AX74" i="10"/>
  <c r="AN73" i="10"/>
  <c r="AM71" i="10"/>
  <c r="AX70" i="10"/>
  <c r="AN69" i="10"/>
  <c r="AM67" i="10"/>
  <c r="AX66" i="10"/>
  <c r="AN65" i="10"/>
  <c r="AM63" i="10"/>
  <c r="AX62" i="10"/>
  <c r="AN61" i="10"/>
  <c r="AM59" i="10"/>
  <c r="AX58" i="10"/>
  <c r="AN57" i="10"/>
  <c r="AM55" i="10"/>
  <c r="AX54" i="10"/>
  <c r="AN53" i="10"/>
  <c r="AM51" i="10"/>
  <c r="AX50" i="10"/>
  <c r="AN49" i="10"/>
  <c r="AM47" i="10"/>
  <c r="AX46" i="10"/>
  <c r="AN45" i="10"/>
  <c r="AM43" i="10"/>
  <c r="AX42" i="10"/>
  <c r="AN41" i="10"/>
  <c r="AM39" i="10"/>
  <c r="AX38" i="10"/>
  <c r="AN37" i="10"/>
  <c r="AM35" i="10"/>
  <c r="AX34" i="10"/>
  <c r="AN33" i="10"/>
  <c r="AX30" i="10"/>
  <c r="AN29" i="10"/>
  <c r="AN17" i="10"/>
  <c r="AM16" i="10"/>
  <c r="AX15" i="10"/>
  <c r="AX13" i="10"/>
  <c r="AN12" i="10"/>
  <c r="AX11" i="10"/>
  <c r="AN28" i="10"/>
  <c r="AX25" i="10"/>
  <c r="AN24" i="10"/>
  <c r="AM22" i="10"/>
  <c r="AN20" i="10"/>
  <c r="AN21" i="10"/>
  <c r="AX27" i="10"/>
  <c r="AM24" i="10"/>
  <c r="AX23" i="10"/>
  <c r="AX28" i="10"/>
  <c r="AM25" i="10"/>
  <c r="AX24" i="10"/>
  <c r="AM21" i="10"/>
  <c r="AX20" i="10"/>
  <c r="AN98" i="10"/>
  <c r="AN94" i="10"/>
  <c r="AN90" i="10"/>
  <c r="AN86" i="10"/>
  <c r="AN82" i="10"/>
  <c r="AN78" i="10"/>
  <c r="AN74" i="10"/>
  <c r="AN70" i="10"/>
  <c r="AN66" i="10"/>
  <c r="AN62" i="10"/>
  <c r="AN58" i="10"/>
  <c r="AN54" i="10"/>
  <c r="AN50" i="10"/>
  <c r="AN46" i="10"/>
  <c r="AN42" i="10"/>
  <c r="AN38" i="10"/>
  <c r="AN34" i="10"/>
  <c r="AN30" i="10"/>
  <c r="AN26" i="10"/>
  <c r="AN22" i="10"/>
  <c r="AN18" i="10"/>
  <c r="AN14" i="10"/>
  <c r="AN99" i="10"/>
  <c r="AN95" i="10"/>
  <c r="AN91" i="10"/>
  <c r="AN87" i="10"/>
  <c r="AN83" i="10"/>
  <c r="AN79" i="10"/>
  <c r="AN75" i="10"/>
  <c r="AN71" i="10"/>
  <c r="AN67" i="10"/>
  <c r="AN63" i="10"/>
  <c r="AN59" i="10"/>
  <c r="AN55" i="10"/>
  <c r="AN51" i="10"/>
  <c r="AN47" i="10"/>
  <c r="AN43" i="10"/>
  <c r="AN39" i="10"/>
  <c r="AN35" i="10"/>
  <c r="AN31" i="10"/>
  <c r="AN27" i="10"/>
  <c r="AN23" i="10"/>
  <c r="AN19" i="10"/>
  <c r="AN15" i="10"/>
  <c r="AN11" i="10"/>
  <c r="H19" i="12" l="1"/>
  <c r="I19" i="12"/>
  <c r="P19" i="12"/>
  <c r="Q19" i="12"/>
  <c r="R13" i="22"/>
  <c r="P13" i="22"/>
  <c r="Q13" i="22"/>
  <c r="I13" i="22"/>
  <c r="G13" i="22"/>
  <c r="H13" i="22"/>
  <c r="S15" i="22"/>
  <c r="R15" i="22"/>
  <c r="R15" i="14"/>
  <c r="Q15" i="14"/>
  <c r="Q16" i="14"/>
  <c r="R16" i="14"/>
  <c r="O15" i="14"/>
  <c r="P15" i="14"/>
  <c r="F15" i="14"/>
  <c r="G15" i="14"/>
  <c r="G16" i="14"/>
  <c r="F16" i="14"/>
  <c r="I15" i="14"/>
  <c r="H15" i="14"/>
  <c r="O16" i="14"/>
  <c r="P16" i="14"/>
  <c r="I16" i="14"/>
  <c r="H16" i="14"/>
  <c r="AL23" i="10"/>
  <c r="AM23" i="10" s="1"/>
  <c r="AL12" i="10"/>
  <c r="AM12" i="10" s="1"/>
  <c r="F11" i="14"/>
  <c r="R11" i="14"/>
  <c r="O13" i="14"/>
  <c r="F13" i="14"/>
  <c r="Q13" i="14"/>
  <c r="R13" i="14"/>
  <c r="J11" i="14"/>
  <c r="G13" i="12"/>
  <c r="H13" i="12"/>
  <c r="P13" i="12"/>
  <c r="Q13" i="12"/>
  <c r="H13" i="14"/>
  <c r="I13" i="14"/>
  <c r="G13" i="14"/>
  <c r="O11" i="14"/>
  <c r="I12" i="14"/>
  <c r="H12" i="14"/>
  <c r="G4" i="7"/>
  <c r="C4" i="7"/>
  <c r="T15" i="22" l="1"/>
  <c r="V27" i="19" s="1"/>
  <c r="K13" i="22"/>
  <c r="U23" i="19" s="1"/>
  <c r="U22" i="19"/>
  <c r="T13" i="22"/>
  <c r="V23" i="19" s="1"/>
  <c r="V22" i="19"/>
  <c r="T16" i="14"/>
  <c r="K16" i="14"/>
  <c r="T15" i="14"/>
  <c r="K27" i="19" s="1"/>
  <c r="K15" i="14"/>
  <c r="J27" i="19" s="1"/>
  <c r="G11" i="14"/>
  <c r="Q11" i="14"/>
  <c r="P11" i="14"/>
  <c r="P13" i="14"/>
  <c r="T13" i="14" s="1"/>
  <c r="K23" i="19" s="1"/>
  <c r="K13" i="14"/>
  <c r="J23" i="19" s="1"/>
  <c r="H11" i="14"/>
  <c r="I11" i="14"/>
  <c r="F12" i="14"/>
  <c r="G12" i="14"/>
  <c r="S12" i="14"/>
  <c r="K12" i="14" l="1"/>
  <c r="K11" i="14"/>
  <c r="J32" i="19" s="1"/>
  <c r="Q12" i="14"/>
  <c r="R12" i="14"/>
  <c r="P12" i="14"/>
  <c r="O12" i="14"/>
  <c r="T10" i="1"/>
  <c r="U10" i="1" s="1"/>
  <c r="V10" i="1" s="1"/>
  <c r="W10" i="1" s="1"/>
  <c r="X10" i="1" s="1"/>
  <c r="I10" i="1"/>
  <c r="J10" i="1" s="1"/>
  <c r="K10" i="1" s="1"/>
  <c r="V13" i="1" l="1"/>
  <c r="V11" i="1"/>
  <c r="T11" i="14"/>
  <c r="K32" i="19" s="1"/>
  <c r="T12" i="14"/>
  <c r="L10" i="1"/>
  <c r="M10" i="1" s="1"/>
  <c r="J14" i="1"/>
  <c r="I13" i="1"/>
  <c r="I14" i="1"/>
  <c r="J15" i="1"/>
  <c r="J13" i="1"/>
  <c r="I15" i="1"/>
  <c r="V15" i="1"/>
  <c r="V16" i="1"/>
  <c r="V17" i="1"/>
  <c r="V12" i="1"/>
  <c r="V14" i="1"/>
  <c r="Y10" i="1"/>
  <c r="V42" i="1" l="1"/>
  <c r="Z10" i="1"/>
  <c r="X14" i="1"/>
  <c r="X12" i="1"/>
  <c r="X17" i="1"/>
  <c r="X16" i="1"/>
  <c r="X15" i="1"/>
  <c r="X13" i="1"/>
  <c r="X11" i="1"/>
  <c r="N10" i="1"/>
  <c r="O10" i="1" s="1"/>
  <c r="P41" i="1" s="1"/>
  <c r="L14" i="1"/>
  <c r="L15" i="1"/>
  <c r="L13" i="1"/>
  <c r="X42" i="1" l="1"/>
  <c r="P24" i="1"/>
  <c r="P23" i="1"/>
  <c r="AY99" i="10"/>
  <c r="AY91" i="10"/>
  <c r="AY79" i="10"/>
  <c r="AY75" i="10"/>
  <c r="AY55" i="10"/>
  <c r="AY16" i="10"/>
  <c r="AY12" i="10"/>
  <c r="AY88" i="10"/>
  <c r="AY80" i="10"/>
  <c r="AY52" i="10"/>
  <c r="AY40" i="10"/>
  <c r="AY71" i="10"/>
  <c r="AY59" i="10"/>
  <c r="AY43" i="10"/>
  <c r="AY18" i="10"/>
  <c r="AY96" i="10"/>
  <c r="AY72" i="10"/>
  <c r="AY64" i="10"/>
  <c r="AY48" i="10"/>
  <c r="AY15" i="10"/>
  <c r="AY65" i="10"/>
  <c r="AY29" i="10"/>
  <c r="AY73" i="10"/>
  <c r="AY97" i="10"/>
  <c r="AY57" i="10"/>
  <c r="AY11" i="10"/>
  <c r="AY34" i="10"/>
  <c r="AY27" i="10"/>
  <c r="AY30" i="10"/>
  <c r="AY94" i="10"/>
  <c r="AY24" i="10"/>
  <c r="AY70" i="10"/>
  <c r="AY17" i="10"/>
  <c r="AY62" i="10"/>
  <c r="AY42" i="10"/>
  <c r="AY90" i="10"/>
  <c r="AY81" i="10"/>
  <c r="AY77" i="10"/>
  <c r="AY93" i="10"/>
  <c r="AY98" i="10"/>
  <c r="AY95" i="10"/>
  <c r="AY87" i="10"/>
  <c r="AY83" i="10"/>
  <c r="AY63" i="10"/>
  <c r="AY47" i="10"/>
  <c r="AY31" i="10"/>
  <c r="AY21" i="10"/>
  <c r="AY92" i="10"/>
  <c r="AY84" i="10"/>
  <c r="AY44" i="10"/>
  <c r="AY32" i="10"/>
  <c r="AY51" i="10"/>
  <c r="AY100" i="10"/>
  <c r="AY76" i="10"/>
  <c r="AY14" i="10"/>
  <c r="AY58" i="10"/>
  <c r="AY45" i="10"/>
  <c r="AY89" i="10"/>
  <c r="AY41" i="10"/>
  <c r="AY49" i="10"/>
  <c r="AY13" i="10"/>
  <c r="AY50" i="10"/>
  <c r="AY28" i="10"/>
  <c r="AY46" i="10"/>
  <c r="AY23" i="10"/>
  <c r="AY54" i="10"/>
  <c r="AY86" i="10"/>
  <c r="AY20" i="10"/>
  <c r="AY78" i="10"/>
  <c r="AY74" i="10"/>
  <c r="AY19" i="10"/>
  <c r="AY85" i="10"/>
  <c r="AY82" i="10"/>
  <c r="AY53" i="10"/>
  <c r="N15" i="1"/>
  <c r="N13" i="1"/>
  <c r="N14" i="1"/>
  <c r="AO96" i="10"/>
  <c r="AO13" i="10"/>
  <c r="AO88" i="10"/>
  <c r="AO75" i="10"/>
  <c r="AO83" i="10"/>
  <c r="AO74" i="10"/>
  <c r="AO79" i="10"/>
  <c r="AO91" i="10"/>
  <c r="AO82" i="10"/>
  <c r="AO47" i="10"/>
  <c r="AO55" i="10"/>
  <c r="AO71" i="10"/>
  <c r="AO73" i="10"/>
  <c r="AO78" i="10"/>
  <c r="AO51" i="10"/>
  <c r="AO70" i="10"/>
  <c r="AO50" i="10"/>
  <c r="AO100" i="10"/>
  <c r="AO76" i="10"/>
  <c r="AO12" i="10"/>
  <c r="AO45" i="10"/>
  <c r="AO92" i="10"/>
  <c r="AO72" i="10"/>
  <c r="AO97" i="10"/>
  <c r="AO17" i="10"/>
  <c r="AO89" i="10"/>
  <c r="AO84" i="10"/>
  <c r="AO14" i="10"/>
  <c r="AO98" i="10"/>
  <c r="AO63" i="10"/>
  <c r="AO90" i="10"/>
  <c r="AO59" i="10"/>
  <c r="AO15" i="10"/>
  <c r="AO65" i="10"/>
  <c r="AO85" i="10"/>
  <c r="AO48" i="10"/>
  <c r="AO57" i="10"/>
  <c r="AO77" i="10"/>
  <c r="AO80" i="10"/>
  <c r="AO81" i="10"/>
  <c r="AO93" i="10"/>
  <c r="AO11" i="10"/>
  <c r="AO46" i="10"/>
  <c r="AO87" i="10"/>
  <c r="AO19" i="10"/>
  <c r="AO54" i="10"/>
  <c r="AO95" i="10"/>
  <c r="AO99" i="10"/>
  <c r="AO62" i="10"/>
  <c r="AO18" i="10"/>
  <c r="AO58" i="10"/>
  <c r="AO53" i="10"/>
  <c r="AO64" i="10"/>
  <c r="AO49" i="10"/>
  <c r="AO52" i="10"/>
  <c r="AO86" i="10"/>
  <c r="AO42" i="10"/>
  <c r="AO94" i="10"/>
  <c r="AA10" i="1"/>
  <c r="Z16" i="1"/>
  <c r="BC82" i="10" l="1"/>
  <c r="AZ82" i="10"/>
  <c r="BA82" i="10"/>
  <c r="BB82" i="10"/>
  <c r="BB78" i="10"/>
  <c r="AZ78" i="10"/>
  <c r="BC78" i="10"/>
  <c r="BA78" i="10"/>
  <c r="BB86" i="10"/>
  <c r="BC86" i="10"/>
  <c r="AZ86" i="10"/>
  <c r="BA86" i="10"/>
  <c r="BA23" i="10"/>
  <c r="AZ23" i="10"/>
  <c r="BC23" i="10"/>
  <c r="BB23" i="10"/>
  <c r="BC28" i="10"/>
  <c r="AZ28" i="10"/>
  <c r="BB28" i="10"/>
  <c r="BA28" i="10"/>
  <c r="AZ13" i="10"/>
  <c r="BA13" i="10"/>
  <c r="BB13" i="10"/>
  <c r="BC13" i="10"/>
  <c r="AZ41" i="10"/>
  <c r="BC41" i="10"/>
  <c r="BA41" i="10"/>
  <c r="BB41" i="10"/>
  <c r="AZ45" i="10"/>
  <c r="BB45" i="10"/>
  <c r="BA45" i="10"/>
  <c r="BC45" i="10"/>
  <c r="BC14" i="10"/>
  <c r="AZ14" i="10"/>
  <c r="BA14" i="10"/>
  <c r="BB14" i="10"/>
  <c r="AZ100" i="10"/>
  <c r="BC100" i="10"/>
  <c r="BA100" i="10"/>
  <c r="BB100" i="10"/>
  <c r="AZ44" i="10"/>
  <c r="BA44" i="10"/>
  <c r="BC44" i="10"/>
  <c r="BB44" i="10"/>
  <c r="BC84" i="10"/>
  <c r="AZ84" i="10"/>
  <c r="BA84" i="10"/>
  <c r="BB84" i="10"/>
  <c r="BA21" i="10"/>
  <c r="AZ21" i="10"/>
  <c r="BC21" i="10"/>
  <c r="BB21" i="10"/>
  <c r="BB47" i="10"/>
  <c r="BA47" i="10"/>
  <c r="BC47" i="10"/>
  <c r="AZ47" i="10"/>
  <c r="BC83" i="10"/>
  <c r="AZ83" i="10"/>
  <c r="BB83" i="10"/>
  <c r="BA83" i="10"/>
  <c r="BC95" i="10"/>
  <c r="AZ95" i="10"/>
  <c r="BB95" i="10"/>
  <c r="BA95" i="10"/>
  <c r="BA93" i="10"/>
  <c r="BC93" i="10"/>
  <c r="AZ93" i="10"/>
  <c r="BB93" i="10"/>
  <c r="BA81" i="10"/>
  <c r="BC81" i="10"/>
  <c r="AZ81" i="10"/>
  <c r="BB81" i="10"/>
  <c r="BC42" i="10"/>
  <c r="AZ42" i="10"/>
  <c r="BA42" i="10"/>
  <c r="BB42" i="10"/>
  <c r="AZ17" i="10"/>
  <c r="BC17" i="10"/>
  <c r="BA17" i="10"/>
  <c r="BB17" i="10"/>
  <c r="AZ24" i="10"/>
  <c r="BA24" i="10"/>
  <c r="BB24" i="10"/>
  <c r="BC24" i="10"/>
  <c r="BB30" i="10"/>
  <c r="BC30" i="10"/>
  <c r="BA30" i="10"/>
  <c r="AZ30" i="10"/>
  <c r="AZ11" i="10"/>
  <c r="BC11" i="10"/>
  <c r="BA11" i="10"/>
  <c r="BB11" i="10"/>
  <c r="BA97" i="10"/>
  <c r="BB97" i="10"/>
  <c r="AZ97" i="10"/>
  <c r="BC97" i="10"/>
  <c r="AZ29" i="10"/>
  <c r="BB29" i="10"/>
  <c r="BA29" i="10"/>
  <c r="BC29" i="10"/>
  <c r="BB15" i="10"/>
  <c r="BA15" i="10"/>
  <c r="AZ15" i="10"/>
  <c r="BC15" i="10"/>
  <c r="AZ64" i="10"/>
  <c r="BC64" i="10"/>
  <c r="BA64" i="10"/>
  <c r="BB64" i="10"/>
  <c r="BB96" i="10"/>
  <c r="AZ96" i="10"/>
  <c r="BC96" i="10"/>
  <c r="BA96" i="10"/>
  <c r="BA43" i="10"/>
  <c r="BB43" i="10"/>
  <c r="AZ43" i="10"/>
  <c r="BC43" i="10"/>
  <c r="AZ71" i="10"/>
  <c r="BA71" i="10"/>
  <c r="BC71" i="10"/>
  <c r="BB71" i="10"/>
  <c r="AZ52" i="10"/>
  <c r="BC52" i="10"/>
  <c r="BA52" i="10"/>
  <c r="BB52" i="10"/>
  <c r="BC88" i="10"/>
  <c r="AZ88" i="10"/>
  <c r="BA88" i="10"/>
  <c r="BB88" i="10"/>
  <c r="BC16" i="10"/>
  <c r="AZ16" i="10"/>
  <c r="BA16" i="10"/>
  <c r="BB16" i="10"/>
  <c r="BB75" i="10"/>
  <c r="AZ75" i="10"/>
  <c r="BC75" i="10"/>
  <c r="BA75" i="10"/>
  <c r="BC91" i="10"/>
  <c r="BB91" i="10"/>
  <c r="BA91" i="10"/>
  <c r="AZ91" i="10"/>
  <c r="BA53" i="10"/>
  <c r="BC53" i="10"/>
  <c r="AZ53" i="10"/>
  <c r="BB53" i="10"/>
  <c r="BA85" i="10"/>
  <c r="BC85" i="10"/>
  <c r="AZ85" i="10"/>
  <c r="BB85" i="10"/>
  <c r="AZ19" i="10"/>
  <c r="BB19" i="10"/>
  <c r="BA19" i="10"/>
  <c r="BC19" i="10"/>
  <c r="BA74" i="10"/>
  <c r="AZ74" i="10"/>
  <c r="BB74" i="10"/>
  <c r="BC74" i="10"/>
  <c r="BA20" i="10"/>
  <c r="AZ20" i="10"/>
  <c r="BB20" i="10"/>
  <c r="BC20" i="10"/>
  <c r="BB54" i="10"/>
  <c r="BA54" i="10"/>
  <c r="BC54" i="10"/>
  <c r="AZ54" i="10"/>
  <c r="BB46" i="10"/>
  <c r="BC46" i="10"/>
  <c r="AZ46" i="10"/>
  <c r="BA46" i="10"/>
  <c r="BA50" i="10"/>
  <c r="BC50" i="10"/>
  <c r="AZ50" i="10"/>
  <c r="BB50" i="10"/>
  <c r="AZ49" i="10"/>
  <c r="BB49" i="10"/>
  <c r="BA49" i="10"/>
  <c r="BC49" i="10"/>
  <c r="BA89" i="10"/>
  <c r="BB89" i="10"/>
  <c r="AZ89" i="10"/>
  <c r="BC89" i="10"/>
  <c r="BB58" i="10"/>
  <c r="BC58" i="10"/>
  <c r="AZ58" i="10"/>
  <c r="BA58" i="10"/>
  <c r="AZ76" i="10"/>
  <c r="BA76" i="10"/>
  <c r="BC76" i="10"/>
  <c r="BB76" i="10"/>
  <c r="BB51" i="10"/>
  <c r="BC51" i="10"/>
  <c r="BA51" i="10"/>
  <c r="AZ51" i="10"/>
  <c r="AZ32" i="10"/>
  <c r="BB32" i="10"/>
  <c r="BA32" i="10"/>
  <c r="BC32" i="10"/>
  <c r="BC92" i="10"/>
  <c r="AZ92" i="10"/>
  <c r="BA92" i="10"/>
  <c r="BB92" i="10"/>
  <c r="BA31" i="10"/>
  <c r="BC31" i="10"/>
  <c r="AZ31" i="10"/>
  <c r="BB31" i="10"/>
  <c r="BA63" i="10"/>
  <c r="BB63" i="10"/>
  <c r="AZ63" i="10"/>
  <c r="BC63" i="10"/>
  <c r="BA87" i="10"/>
  <c r="BC87" i="10"/>
  <c r="AZ87" i="10"/>
  <c r="BB87" i="10"/>
  <c r="AZ98" i="10"/>
  <c r="BC98" i="10"/>
  <c r="BB98" i="10"/>
  <c r="BA98" i="10"/>
  <c r="BA77" i="10"/>
  <c r="BC77" i="10"/>
  <c r="AZ77" i="10"/>
  <c r="BB77" i="10"/>
  <c r="BC90" i="10"/>
  <c r="AZ90" i="10"/>
  <c r="BB90" i="10"/>
  <c r="BA90" i="10"/>
  <c r="BC62" i="10"/>
  <c r="BB62" i="10"/>
  <c r="AZ62" i="10"/>
  <c r="BA62" i="10"/>
  <c r="BB70" i="10"/>
  <c r="AZ70" i="10"/>
  <c r="BA70" i="10"/>
  <c r="BC70" i="10"/>
  <c r="BB94" i="10"/>
  <c r="BC94" i="10"/>
  <c r="AZ94" i="10"/>
  <c r="BA94" i="10"/>
  <c r="BC27" i="10"/>
  <c r="AZ27" i="10"/>
  <c r="BA27" i="10"/>
  <c r="BB27" i="10"/>
  <c r="BB34" i="10"/>
  <c r="BC34" i="10"/>
  <c r="BA34" i="10"/>
  <c r="AZ34" i="10"/>
  <c r="BA57" i="10"/>
  <c r="BC57" i="10"/>
  <c r="AZ57" i="10"/>
  <c r="BB57" i="10"/>
  <c r="BA73" i="10"/>
  <c r="BC73" i="10"/>
  <c r="AZ73" i="10"/>
  <c r="BB73" i="10"/>
  <c r="AZ65" i="10"/>
  <c r="BC65" i="10"/>
  <c r="BA65" i="10"/>
  <c r="BB65" i="10"/>
  <c r="AZ48" i="10"/>
  <c r="BC48" i="10"/>
  <c r="BA48" i="10"/>
  <c r="BB48" i="10"/>
  <c r="AZ72" i="10"/>
  <c r="BA72" i="10"/>
  <c r="BB72" i="10"/>
  <c r="BC72" i="10"/>
  <c r="BC18" i="10"/>
  <c r="AZ18" i="10"/>
  <c r="BA18" i="10"/>
  <c r="BB18" i="10"/>
  <c r="BA59" i="10"/>
  <c r="BB59" i="10"/>
  <c r="AZ59" i="10"/>
  <c r="BC59" i="10"/>
  <c r="AZ40" i="10"/>
  <c r="BC40" i="10"/>
  <c r="BA40" i="10"/>
  <c r="BB40" i="10"/>
  <c r="BB80" i="10"/>
  <c r="BC80" i="10"/>
  <c r="AZ80" i="10"/>
  <c r="BA80" i="10"/>
  <c r="AZ12" i="10"/>
  <c r="BB12" i="10"/>
  <c r="BA12" i="10"/>
  <c r="BC12" i="10"/>
  <c r="BA55" i="10"/>
  <c r="BC55" i="10"/>
  <c r="AZ55" i="10"/>
  <c r="BB55" i="10"/>
  <c r="BB79" i="10"/>
  <c r="BC79" i="10"/>
  <c r="AZ79" i="10"/>
  <c r="BA79" i="10"/>
  <c r="BB99" i="10"/>
  <c r="BC99" i="10"/>
  <c r="BA99" i="10"/>
  <c r="AZ99" i="10"/>
  <c r="AR64" i="10"/>
  <c r="AS64" i="10"/>
  <c r="AR53" i="10"/>
  <c r="AS53" i="10"/>
  <c r="AR87" i="10"/>
  <c r="AS87" i="10"/>
  <c r="AR59" i="10"/>
  <c r="AS59" i="10"/>
  <c r="AR12" i="10"/>
  <c r="AS12" i="10"/>
  <c r="AR73" i="10"/>
  <c r="AS73" i="10"/>
  <c r="AR82" i="10"/>
  <c r="AS82" i="10"/>
  <c r="AR88" i="10"/>
  <c r="AS88" i="10"/>
  <c r="AR94" i="10"/>
  <c r="AS94" i="10"/>
  <c r="AR18" i="10"/>
  <c r="AS18" i="10"/>
  <c r="AR46" i="10"/>
  <c r="AS46" i="10"/>
  <c r="AR57" i="10"/>
  <c r="AS57" i="10"/>
  <c r="AR84" i="10"/>
  <c r="AS84" i="10"/>
  <c r="AR76" i="10"/>
  <c r="AS76" i="10"/>
  <c r="AR70" i="10"/>
  <c r="AS70" i="10"/>
  <c r="AR71" i="10"/>
  <c r="AS71" i="10"/>
  <c r="AR55" i="10"/>
  <c r="AS55" i="10"/>
  <c r="AR75" i="10"/>
  <c r="AS75" i="10"/>
  <c r="AR42" i="10"/>
  <c r="AS42" i="10"/>
  <c r="AR52" i="10"/>
  <c r="AS52" i="10"/>
  <c r="AR62" i="10"/>
  <c r="AS62" i="10"/>
  <c r="AR54" i="10"/>
  <c r="AS54" i="10"/>
  <c r="AR11" i="10"/>
  <c r="AS11" i="10"/>
  <c r="AR80" i="10"/>
  <c r="AS80" i="10"/>
  <c r="AR48" i="10"/>
  <c r="AS48" i="10"/>
  <c r="AR14" i="10"/>
  <c r="AS14" i="10"/>
  <c r="AR89" i="10"/>
  <c r="AS89" i="10"/>
  <c r="AR92" i="10"/>
  <c r="AS92" i="10"/>
  <c r="AR100" i="10"/>
  <c r="AS100" i="10"/>
  <c r="AR51" i="10"/>
  <c r="AS51" i="10"/>
  <c r="AR91" i="10"/>
  <c r="AS91" i="10"/>
  <c r="AR83" i="10"/>
  <c r="AS83" i="10"/>
  <c r="AR13" i="10"/>
  <c r="AS13" i="10"/>
  <c r="AR99" i="10"/>
  <c r="AS99" i="10"/>
  <c r="AR63" i="10"/>
  <c r="AS63" i="10"/>
  <c r="AR97" i="10"/>
  <c r="AS97" i="10"/>
  <c r="AR50" i="10"/>
  <c r="AS50" i="10"/>
  <c r="AR74" i="10"/>
  <c r="AS74" i="10"/>
  <c r="AR96" i="10"/>
  <c r="AS96" i="10"/>
  <c r="AR95" i="10"/>
  <c r="AS95" i="10"/>
  <c r="AR81" i="10"/>
  <c r="AS81" i="10"/>
  <c r="AR65" i="10"/>
  <c r="AS65" i="10"/>
  <c r="AR98" i="10"/>
  <c r="AS98" i="10"/>
  <c r="AR72" i="10"/>
  <c r="AS72" i="10"/>
  <c r="AR86" i="10"/>
  <c r="AS86" i="10"/>
  <c r="AR49" i="10"/>
  <c r="AS49" i="10"/>
  <c r="AR58" i="10"/>
  <c r="AS58" i="10"/>
  <c r="AR19" i="10"/>
  <c r="AS19" i="10"/>
  <c r="AR93" i="10"/>
  <c r="AS93" i="10"/>
  <c r="AR77" i="10"/>
  <c r="AS77" i="10"/>
  <c r="AR85" i="10"/>
  <c r="AS85" i="10"/>
  <c r="AR15" i="10"/>
  <c r="AS15" i="10"/>
  <c r="AR90" i="10"/>
  <c r="AS90" i="10"/>
  <c r="AR17" i="10"/>
  <c r="AS17" i="10"/>
  <c r="AR45" i="10"/>
  <c r="AS45" i="10"/>
  <c r="AR78" i="10"/>
  <c r="AS78" i="10"/>
  <c r="AR47" i="10"/>
  <c r="AS47" i="10"/>
  <c r="AR79" i="10"/>
  <c r="AS79" i="10"/>
  <c r="AQ64" i="10"/>
  <c r="AP64" i="10"/>
  <c r="AP53" i="10"/>
  <c r="AQ53" i="10"/>
  <c r="AQ99" i="10"/>
  <c r="AP99" i="10"/>
  <c r="AQ87" i="10"/>
  <c r="AP87" i="10"/>
  <c r="AQ59" i="10"/>
  <c r="AP59" i="10"/>
  <c r="AP63" i="10"/>
  <c r="AQ63" i="10"/>
  <c r="AQ97" i="10"/>
  <c r="AP97" i="10"/>
  <c r="AP12" i="10"/>
  <c r="AQ12" i="10"/>
  <c r="AP50" i="10"/>
  <c r="AQ50" i="10"/>
  <c r="AP73" i="10"/>
  <c r="AQ73" i="10"/>
  <c r="AP82" i="10"/>
  <c r="AQ82" i="10"/>
  <c r="AQ74" i="10"/>
  <c r="AP74" i="10"/>
  <c r="AP88" i="10"/>
  <c r="AQ88" i="10"/>
  <c r="AP96" i="10"/>
  <c r="AQ96" i="10"/>
  <c r="AQ94" i="10"/>
  <c r="AP94" i="10"/>
  <c r="AP18" i="10"/>
  <c r="AQ18" i="10"/>
  <c r="AQ72" i="10"/>
  <c r="AP72" i="10"/>
  <c r="AP70" i="10"/>
  <c r="AQ70" i="10"/>
  <c r="AP71" i="10"/>
  <c r="AQ71" i="10"/>
  <c r="AB10" i="1"/>
  <c r="AA16" i="1"/>
  <c r="AB16" i="1" s="1"/>
  <c r="AB42" i="1" s="1"/>
  <c r="AQ62" i="10"/>
  <c r="AP62" i="10"/>
  <c r="AQ54" i="10"/>
  <c r="AP54" i="10"/>
  <c r="AP11" i="10"/>
  <c r="AQ11" i="10"/>
  <c r="AQ80" i="10"/>
  <c r="AP80" i="10"/>
  <c r="AP48" i="10"/>
  <c r="AQ48" i="10"/>
  <c r="AQ14" i="10"/>
  <c r="AP14" i="10"/>
  <c r="AP89" i="10"/>
  <c r="AQ89" i="10"/>
  <c r="AQ92" i="10"/>
  <c r="AP92" i="10"/>
  <c r="AP100" i="10"/>
  <c r="AQ100" i="10"/>
  <c r="AP51" i="10"/>
  <c r="AQ51" i="10"/>
  <c r="AQ91" i="10"/>
  <c r="AP91" i="10"/>
  <c r="AP83" i="10"/>
  <c r="AQ83" i="10"/>
  <c r="AP13" i="10"/>
  <c r="AQ13" i="10"/>
  <c r="AP95" i="10"/>
  <c r="AQ95" i="10"/>
  <c r="AQ46" i="10"/>
  <c r="AP46" i="10"/>
  <c r="AQ81" i="10"/>
  <c r="AP81" i="10"/>
  <c r="AQ57" i="10"/>
  <c r="AP57" i="10"/>
  <c r="AP65" i="10"/>
  <c r="AQ65" i="10"/>
  <c r="AP98" i="10"/>
  <c r="AQ98" i="10"/>
  <c r="AQ84" i="10"/>
  <c r="AP84" i="10"/>
  <c r="AP76" i="10"/>
  <c r="AQ76" i="10"/>
  <c r="AQ55" i="10"/>
  <c r="AP55" i="10"/>
  <c r="AQ75" i="10"/>
  <c r="AP75" i="10"/>
  <c r="AP42" i="10"/>
  <c r="AQ42" i="10"/>
  <c r="AQ52" i="10"/>
  <c r="AP52" i="10"/>
  <c r="AQ86" i="10"/>
  <c r="AP86" i="10"/>
  <c r="AQ49" i="10"/>
  <c r="AP49" i="10"/>
  <c r="AQ58" i="10"/>
  <c r="AP58" i="10"/>
  <c r="AP19" i="10"/>
  <c r="AQ19" i="10"/>
  <c r="AP93" i="10"/>
  <c r="AQ93" i="10"/>
  <c r="AQ77" i="10"/>
  <c r="AP77" i="10"/>
  <c r="AP85" i="10"/>
  <c r="AQ85" i="10"/>
  <c r="AQ15" i="10"/>
  <c r="AP15" i="10"/>
  <c r="AQ90" i="10"/>
  <c r="AP90" i="10"/>
  <c r="AQ17" i="10"/>
  <c r="AP17" i="10"/>
  <c r="AP45" i="10"/>
  <c r="AQ45" i="10"/>
  <c r="AQ78" i="10"/>
  <c r="AP78" i="10"/>
  <c r="AQ47" i="10"/>
  <c r="AP47" i="10"/>
  <c r="AQ79" i="10"/>
  <c r="AP79" i="10"/>
  <c r="BD12" i="10" l="1"/>
  <c r="BE12" i="10" s="1"/>
  <c r="BF12" i="10" s="1"/>
  <c r="BG12" i="10" s="1"/>
  <c r="BD59" i="10"/>
  <c r="BE59" i="10" s="1"/>
  <c r="BF59" i="10" s="1"/>
  <c r="BG59" i="10" s="1"/>
  <c r="K17" i="12" s="1"/>
  <c r="R17" i="12" s="1"/>
  <c r="BD72" i="10"/>
  <c r="BE72" i="10" s="1"/>
  <c r="BF72" i="10" s="1"/>
  <c r="BG72" i="10" s="1"/>
  <c r="BD70" i="10"/>
  <c r="BE70" i="10" s="1"/>
  <c r="BF70" i="10" s="1"/>
  <c r="BG70" i="10" s="1"/>
  <c r="BD63" i="10"/>
  <c r="BE63" i="10" s="1"/>
  <c r="BF63" i="10" s="1"/>
  <c r="BG63" i="10" s="1"/>
  <c r="BD32" i="10"/>
  <c r="BE32" i="10" s="1"/>
  <c r="BF32" i="10" s="1"/>
  <c r="BG32" i="10" s="1"/>
  <c r="BD89" i="10"/>
  <c r="BE89" i="10" s="1"/>
  <c r="BF89" i="10" s="1"/>
  <c r="BG89" i="10" s="1"/>
  <c r="BD49" i="10"/>
  <c r="BE49" i="10" s="1"/>
  <c r="BF49" i="10" s="1"/>
  <c r="BG49" i="10" s="1"/>
  <c r="BD20" i="10"/>
  <c r="BE20" i="10" s="1"/>
  <c r="BF20" i="10" s="1"/>
  <c r="BG20" i="10" s="1"/>
  <c r="K12" i="12" s="1"/>
  <c r="R12" i="12" s="1"/>
  <c r="BD74" i="10"/>
  <c r="BE74" i="10" s="1"/>
  <c r="BF74" i="10" s="1"/>
  <c r="BG74" i="10" s="1"/>
  <c r="BD19" i="10"/>
  <c r="BE19" i="10" s="1"/>
  <c r="BF19" i="10" s="1"/>
  <c r="BG19" i="10" s="1"/>
  <c r="BD43" i="10"/>
  <c r="BE43" i="10" s="1"/>
  <c r="BF43" i="10" s="1"/>
  <c r="BG43" i="10" s="1"/>
  <c r="BD15" i="10"/>
  <c r="BE15" i="10" s="1"/>
  <c r="BF15" i="10" s="1"/>
  <c r="BG15" i="10" s="1"/>
  <c r="BD29" i="10"/>
  <c r="BE29" i="10" s="1"/>
  <c r="BF29" i="10" s="1"/>
  <c r="BG29" i="10" s="1"/>
  <c r="BD97" i="10"/>
  <c r="BE97" i="10" s="1"/>
  <c r="BF97" i="10" s="1"/>
  <c r="BG97" i="10" s="1"/>
  <c r="BD24" i="10"/>
  <c r="BE24" i="10" s="1"/>
  <c r="BF24" i="10" s="1"/>
  <c r="BG24" i="10" s="1"/>
  <c r="BD45" i="10"/>
  <c r="BE45" i="10" s="1"/>
  <c r="BF45" i="10" s="1"/>
  <c r="BG45" i="10" s="1"/>
  <c r="BD13" i="10"/>
  <c r="BE13" i="10" s="1"/>
  <c r="BF13" i="10" s="1"/>
  <c r="BG13" i="10" s="1"/>
  <c r="BD23" i="10"/>
  <c r="BE23" i="10" s="1"/>
  <c r="BF23" i="10" s="1"/>
  <c r="BG23" i="10" s="1"/>
  <c r="BD99" i="10"/>
  <c r="BE99" i="10" s="1"/>
  <c r="BF99" i="10" s="1"/>
  <c r="BG99" i="10" s="1"/>
  <c r="BD79" i="10"/>
  <c r="BE79" i="10" s="1"/>
  <c r="BF79" i="10" s="1"/>
  <c r="BG79" i="10" s="1"/>
  <c r="BD55" i="10"/>
  <c r="BE55" i="10" s="1"/>
  <c r="BF55" i="10" s="1"/>
  <c r="BG55" i="10" s="1"/>
  <c r="L16" i="12" s="1"/>
  <c r="BD80" i="10"/>
  <c r="BE80" i="10" s="1"/>
  <c r="BF80" i="10" s="1"/>
  <c r="BG80" i="10" s="1"/>
  <c r="BD40" i="10"/>
  <c r="BE40" i="10" s="1"/>
  <c r="BF40" i="10" s="1"/>
  <c r="BG40" i="10" s="1"/>
  <c r="BD48" i="10"/>
  <c r="BE48" i="10" s="1"/>
  <c r="BF48" i="10" s="1"/>
  <c r="BG48" i="10" s="1"/>
  <c r="BD65" i="10"/>
  <c r="BE65" i="10" s="1"/>
  <c r="BF65" i="10" s="1"/>
  <c r="BG65" i="10" s="1"/>
  <c r="BD73" i="10"/>
  <c r="BE73" i="10" s="1"/>
  <c r="BF73" i="10" s="1"/>
  <c r="BG73" i="10" s="1"/>
  <c r="BD57" i="10"/>
  <c r="BE57" i="10" s="1"/>
  <c r="BF57" i="10" s="1"/>
  <c r="BG57" i="10" s="1"/>
  <c r="BD34" i="10"/>
  <c r="BE34" i="10" s="1"/>
  <c r="BF34" i="10" s="1"/>
  <c r="BG34" i="10" s="1"/>
  <c r="BD94" i="10"/>
  <c r="BE94" i="10" s="1"/>
  <c r="BF94" i="10" s="1"/>
  <c r="BG94" i="10" s="1"/>
  <c r="BD77" i="10"/>
  <c r="BE77" i="10" s="1"/>
  <c r="BF77" i="10" s="1"/>
  <c r="BG77" i="10" s="1"/>
  <c r="BD98" i="10"/>
  <c r="BE98" i="10" s="1"/>
  <c r="BF98" i="10" s="1"/>
  <c r="BG98" i="10" s="1"/>
  <c r="BD87" i="10"/>
  <c r="BE87" i="10" s="1"/>
  <c r="BF87" i="10" s="1"/>
  <c r="BG87" i="10" s="1"/>
  <c r="BD31" i="10"/>
  <c r="BE31" i="10" s="1"/>
  <c r="BF31" i="10" s="1"/>
  <c r="BG31" i="10" s="1"/>
  <c r="BD51" i="10"/>
  <c r="BE51" i="10" s="1"/>
  <c r="BF51" i="10" s="1"/>
  <c r="BG51" i="10" s="1"/>
  <c r="BD58" i="10"/>
  <c r="BE58" i="10" s="1"/>
  <c r="BF58" i="10" s="1"/>
  <c r="BG58" i="10" s="1"/>
  <c r="BD50" i="10"/>
  <c r="BE50" i="10" s="1"/>
  <c r="BF50" i="10" s="1"/>
  <c r="BG50" i="10" s="1"/>
  <c r="BD46" i="10"/>
  <c r="BE46" i="10" s="1"/>
  <c r="BF46" i="10" s="1"/>
  <c r="BG46" i="10" s="1"/>
  <c r="BD85" i="10"/>
  <c r="BE85" i="10" s="1"/>
  <c r="BF85" i="10" s="1"/>
  <c r="BG85" i="10" s="1"/>
  <c r="BD53" i="10"/>
  <c r="BE53" i="10" s="1"/>
  <c r="BF53" i="10" s="1"/>
  <c r="BG53" i="10" s="1"/>
  <c r="BD52" i="10"/>
  <c r="BE52" i="10" s="1"/>
  <c r="BF52" i="10" s="1"/>
  <c r="BG52" i="10" s="1"/>
  <c r="BD64" i="10"/>
  <c r="BE64" i="10" s="1"/>
  <c r="BF64" i="10" s="1"/>
  <c r="BG64" i="10" s="1"/>
  <c r="BD11" i="10"/>
  <c r="BE11" i="10" s="1"/>
  <c r="BF11" i="10" s="1"/>
  <c r="BG11" i="10" s="1"/>
  <c r="K11" i="12" s="1"/>
  <c r="BD30" i="10"/>
  <c r="BE30" i="10" s="1"/>
  <c r="BF30" i="10" s="1"/>
  <c r="BG30" i="10" s="1"/>
  <c r="BD17" i="10"/>
  <c r="BE17" i="10" s="1"/>
  <c r="BF17" i="10" s="1"/>
  <c r="BG17" i="10" s="1"/>
  <c r="BD81" i="10"/>
  <c r="BE81" i="10" s="1"/>
  <c r="BF81" i="10" s="1"/>
  <c r="BG81" i="10" s="1"/>
  <c r="BD93" i="10"/>
  <c r="BE93" i="10" s="1"/>
  <c r="BF93" i="10" s="1"/>
  <c r="BG93" i="10" s="1"/>
  <c r="BD100" i="10"/>
  <c r="BE100" i="10" s="1"/>
  <c r="BF100" i="10" s="1"/>
  <c r="BG100" i="10" s="1"/>
  <c r="BD41" i="10"/>
  <c r="BE41" i="10" s="1"/>
  <c r="BF41" i="10" s="1"/>
  <c r="BG41" i="10" s="1"/>
  <c r="BD86" i="10"/>
  <c r="BE86" i="10" s="1"/>
  <c r="BF86" i="10" s="1"/>
  <c r="BG86" i="10" s="1"/>
  <c r="BD18" i="10"/>
  <c r="BE18" i="10" s="1"/>
  <c r="BF18" i="10" s="1"/>
  <c r="BG18" i="10" s="1"/>
  <c r="BD27" i="10"/>
  <c r="BE27" i="10" s="1"/>
  <c r="BF27" i="10" s="1"/>
  <c r="BG27" i="10" s="1"/>
  <c r="BD62" i="10"/>
  <c r="BE62" i="10" s="1"/>
  <c r="BF62" i="10" s="1"/>
  <c r="BG62" i="10" s="1"/>
  <c r="BD90" i="10"/>
  <c r="BE90" i="10" s="1"/>
  <c r="BF90" i="10" s="1"/>
  <c r="BG90" i="10" s="1"/>
  <c r="BD92" i="10"/>
  <c r="BE92" i="10" s="1"/>
  <c r="BF92" i="10" s="1"/>
  <c r="BG92" i="10" s="1"/>
  <c r="BD76" i="10"/>
  <c r="BE76" i="10" s="1"/>
  <c r="BF76" i="10" s="1"/>
  <c r="BG76" i="10" s="1"/>
  <c r="BD54" i="10"/>
  <c r="BE54" i="10" s="1"/>
  <c r="BF54" i="10" s="1"/>
  <c r="BG54" i="10" s="1"/>
  <c r="BD91" i="10"/>
  <c r="BE91" i="10" s="1"/>
  <c r="BF91" i="10" s="1"/>
  <c r="BG91" i="10" s="1"/>
  <c r="BD75" i="10"/>
  <c r="BE75" i="10" s="1"/>
  <c r="BF75" i="10" s="1"/>
  <c r="BG75" i="10" s="1"/>
  <c r="BD16" i="10"/>
  <c r="BE16" i="10" s="1"/>
  <c r="BF16" i="10" s="1"/>
  <c r="BG16" i="10" s="1"/>
  <c r="BD88" i="10"/>
  <c r="BE88" i="10" s="1"/>
  <c r="BF88" i="10" s="1"/>
  <c r="BG88" i="10" s="1"/>
  <c r="BD71" i="10"/>
  <c r="BE71" i="10" s="1"/>
  <c r="BF71" i="10" s="1"/>
  <c r="BG71" i="10" s="1"/>
  <c r="BD96" i="10"/>
  <c r="BE96" i="10" s="1"/>
  <c r="BF96" i="10" s="1"/>
  <c r="BG96" i="10" s="1"/>
  <c r="BD42" i="10"/>
  <c r="BE42" i="10" s="1"/>
  <c r="BF42" i="10" s="1"/>
  <c r="BG42" i="10" s="1"/>
  <c r="BD95" i="10"/>
  <c r="BE95" i="10" s="1"/>
  <c r="BF95" i="10" s="1"/>
  <c r="BG95" i="10" s="1"/>
  <c r="BD83" i="10"/>
  <c r="BE83" i="10" s="1"/>
  <c r="BF83" i="10" s="1"/>
  <c r="BG83" i="10" s="1"/>
  <c r="BD47" i="10"/>
  <c r="BE47" i="10" s="1"/>
  <c r="BF47" i="10" s="1"/>
  <c r="BG47" i="10" s="1"/>
  <c r="BD21" i="10"/>
  <c r="BE21" i="10" s="1"/>
  <c r="BF21" i="10" s="1"/>
  <c r="BG21" i="10" s="1"/>
  <c r="BD84" i="10"/>
  <c r="BE84" i="10" s="1"/>
  <c r="BF84" i="10" s="1"/>
  <c r="BG84" i="10" s="1"/>
  <c r="BD44" i="10"/>
  <c r="BE44" i="10" s="1"/>
  <c r="BF44" i="10" s="1"/>
  <c r="BG44" i="10" s="1"/>
  <c r="BD14" i="10"/>
  <c r="BE14" i="10" s="1"/>
  <c r="BF14" i="10" s="1"/>
  <c r="BG14" i="10" s="1"/>
  <c r="BD28" i="10"/>
  <c r="BE28" i="10" s="1"/>
  <c r="BF28" i="10" s="1"/>
  <c r="BG28" i="10" s="1"/>
  <c r="BD78" i="10"/>
  <c r="BE78" i="10" s="1"/>
  <c r="BF78" i="10" s="1"/>
  <c r="BG78" i="10" s="1"/>
  <c r="BD82" i="10"/>
  <c r="BE82" i="10" s="1"/>
  <c r="BF82" i="10" s="1"/>
  <c r="BG82" i="10" s="1"/>
  <c r="AT85" i="10"/>
  <c r="AU85" i="10" s="1"/>
  <c r="AT93" i="10"/>
  <c r="AU93" i="10" s="1"/>
  <c r="AT13" i="10"/>
  <c r="AU13" i="10" s="1"/>
  <c r="AT51" i="10"/>
  <c r="AU51" i="10" s="1"/>
  <c r="AT48" i="10"/>
  <c r="AU48" i="10" s="1"/>
  <c r="AT11" i="10"/>
  <c r="AU11" i="10" s="1"/>
  <c r="AT53" i="10"/>
  <c r="AU53" i="10" s="1"/>
  <c r="AT65" i="10"/>
  <c r="AU65" i="10" s="1"/>
  <c r="AT95" i="10"/>
  <c r="AU95" i="10" s="1"/>
  <c r="AT71" i="10"/>
  <c r="AU71" i="10" s="1"/>
  <c r="AT88" i="10"/>
  <c r="AU88" i="10" s="1"/>
  <c r="AT82" i="10"/>
  <c r="AU82" i="10" s="1"/>
  <c r="AT50" i="10"/>
  <c r="AU50" i="10" s="1"/>
  <c r="AT63" i="10"/>
  <c r="AU63" i="10" s="1"/>
  <c r="AT45" i="10"/>
  <c r="AU45" i="10" s="1"/>
  <c r="AT49" i="10"/>
  <c r="AU49" i="10" s="1"/>
  <c r="AT100" i="10"/>
  <c r="AU100" i="10" s="1"/>
  <c r="AT77" i="10"/>
  <c r="AU77" i="10" s="1"/>
  <c r="AT58" i="10"/>
  <c r="AU58" i="10" s="1"/>
  <c r="AT57" i="10"/>
  <c r="AU57" i="10" s="1"/>
  <c r="AT46" i="10"/>
  <c r="AU46" i="10" s="1"/>
  <c r="AT80" i="10"/>
  <c r="AU80" i="10" s="1"/>
  <c r="AT74" i="10"/>
  <c r="AU74" i="10" s="1"/>
  <c r="AT87" i="10"/>
  <c r="AU87" i="10" s="1"/>
  <c r="AT64" i="10"/>
  <c r="AU64" i="10" s="1"/>
  <c r="AT52" i="10"/>
  <c r="AU52" i="10" s="1"/>
  <c r="AT14" i="10"/>
  <c r="AU14" i="10" s="1"/>
  <c r="AT99" i="10"/>
  <c r="AU99" i="10" s="1"/>
  <c r="AT47" i="10"/>
  <c r="AU47" i="10" s="1"/>
  <c r="AT78" i="10"/>
  <c r="AU78" i="10" s="1"/>
  <c r="AT17" i="10"/>
  <c r="AU17" i="10" s="1"/>
  <c r="AT90" i="10"/>
  <c r="AU90" i="10" s="1"/>
  <c r="AT86" i="10"/>
  <c r="AU86" i="10" s="1"/>
  <c r="AT75" i="10"/>
  <c r="AU75" i="10" s="1"/>
  <c r="AT55" i="10"/>
  <c r="AU55" i="10" s="1"/>
  <c r="AT84" i="10"/>
  <c r="AU84" i="10" s="1"/>
  <c r="AT81" i="10"/>
  <c r="AU81" i="10" s="1"/>
  <c r="AT91" i="10"/>
  <c r="AU91" i="10" s="1"/>
  <c r="AT92" i="10"/>
  <c r="AU92" i="10" s="1"/>
  <c r="AT62" i="10"/>
  <c r="AU62" i="10" s="1"/>
  <c r="AT72" i="10"/>
  <c r="AU72" i="10" s="1"/>
  <c r="AT94" i="10"/>
  <c r="AU94" i="10" s="1"/>
  <c r="AT97" i="10"/>
  <c r="AU97" i="10" s="1"/>
  <c r="AT79" i="10"/>
  <c r="AU79" i="10" s="1"/>
  <c r="AT15" i="10"/>
  <c r="AU15" i="10" s="1"/>
  <c r="AT19" i="10"/>
  <c r="AU19" i="10" s="1"/>
  <c r="AT42" i="10"/>
  <c r="AU42" i="10" s="1"/>
  <c r="AT76" i="10"/>
  <c r="AU76" i="10" s="1"/>
  <c r="AT98" i="10"/>
  <c r="AU98" i="10" s="1"/>
  <c r="AT83" i="10"/>
  <c r="AU83" i="10" s="1"/>
  <c r="AT89" i="10"/>
  <c r="AU89" i="10" s="1"/>
  <c r="AT54" i="10"/>
  <c r="AU54" i="10" s="1"/>
  <c r="AT70" i="10"/>
  <c r="AU70" i="10" s="1"/>
  <c r="AT18" i="10"/>
  <c r="AU18" i="10" s="1"/>
  <c r="AT96" i="10"/>
  <c r="AU96" i="10" s="1"/>
  <c r="AT73" i="10"/>
  <c r="AU73" i="10" s="1"/>
  <c r="AT12" i="10"/>
  <c r="AU12" i="10" s="1"/>
  <c r="AT59" i="10"/>
  <c r="AU59" i="10" s="1"/>
  <c r="AC10" i="1"/>
  <c r="AA17" i="1"/>
  <c r="AA15" i="1"/>
  <c r="AA13" i="1"/>
  <c r="AA11" i="1"/>
  <c r="Z12" i="1"/>
  <c r="Z17" i="1"/>
  <c r="Z15" i="1"/>
  <c r="Z13" i="1"/>
  <c r="Z11" i="1"/>
  <c r="AA14" i="1"/>
  <c r="AA12" i="1"/>
  <c r="Z14" i="1"/>
  <c r="M18" i="12" l="1"/>
  <c r="N18" i="12" s="1"/>
  <c r="M19" i="12"/>
  <c r="K18" i="12"/>
  <c r="R18" i="12" s="1"/>
  <c r="L18" i="12"/>
  <c r="Z42" i="1"/>
  <c r="AA42" i="1"/>
  <c r="P16" i="12"/>
  <c r="Q16" i="12"/>
  <c r="K15" i="12"/>
  <c r="R15" i="12" s="1"/>
  <c r="M15" i="12"/>
  <c r="N15" i="12" s="1"/>
  <c r="L15" i="12"/>
  <c r="P15" i="12" s="1"/>
  <c r="M13" i="12"/>
  <c r="N13" i="12" s="1"/>
  <c r="L11" i="12"/>
  <c r="M11" i="12"/>
  <c r="AV96" i="10"/>
  <c r="AW96" i="10" s="1"/>
  <c r="AV76" i="10"/>
  <c r="AW76" i="10" s="1"/>
  <c r="AV75" i="10"/>
  <c r="AW75" i="10" s="1"/>
  <c r="AV87" i="10"/>
  <c r="AW87" i="10" s="1"/>
  <c r="AV77" i="10"/>
  <c r="AW77" i="10" s="1"/>
  <c r="AV45" i="10"/>
  <c r="AW45" i="10" s="1"/>
  <c r="AV13" i="10"/>
  <c r="AW13" i="10" s="1"/>
  <c r="AV12" i="10"/>
  <c r="AW12" i="10" s="1"/>
  <c r="AV89" i="10"/>
  <c r="AW89" i="10" s="1"/>
  <c r="AV15" i="10"/>
  <c r="AW15" i="10" s="1"/>
  <c r="AV72" i="10"/>
  <c r="AW72" i="10" s="1"/>
  <c r="AV81" i="10"/>
  <c r="AW81" i="10" s="1"/>
  <c r="AV86" i="10"/>
  <c r="AW86" i="10" s="1"/>
  <c r="AV17" i="10"/>
  <c r="AW17" i="10" s="1"/>
  <c r="AV99" i="10"/>
  <c r="AW99" i="10" s="1"/>
  <c r="AV52" i="10"/>
  <c r="AW52" i="10" s="1"/>
  <c r="AV46" i="10"/>
  <c r="AW46" i="10" s="1"/>
  <c r="AV100" i="10"/>
  <c r="AW100" i="10" s="1"/>
  <c r="AV82" i="10"/>
  <c r="AW82" i="10" s="1"/>
  <c r="AV95" i="10"/>
  <c r="AW95" i="10" s="1"/>
  <c r="AV48" i="10"/>
  <c r="AW48" i="10" s="1"/>
  <c r="AV93" i="10"/>
  <c r="AW93" i="10" s="1"/>
  <c r="AV19" i="10"/>
  <c r="AW19" i="10" s="1"/>
  <c r="AV91" i="10"/>
  <c r="AW91" i="10" s="1"/>
  <c r="AV14" i="10"/>
  <c r="AW14" i="10" s="1"/>
  <c r="AV73" i="10"/>
  <c r="AW73" i="10" s="1"/>
  <c r="AV18" i="10"/>
  <c r="AW18" i="10" s="1"/>
  <c r="AV83" i="10"/>
  <c r="AW83" i="10" s="1"/>
  <c r="AV42" i="10"/>
  <c r="AW42" i="10" s="1"/>
  <c r="AV97" i="10"/>
  <c r="AW97" i="10" s="1"/>
  <c r="AV62" i="10"/>
  <c r="AW62" i="10" s="1"/>
  <c r="AV84" i="10"/>
  <c r="AW84" i="10" s="1"/>
  <c r="AV78" i="10"/>
  <c r="AW78" i="10" s="1"/>
  <c r="AV64" i="10"/>
  <c r="AW64" i="10" s="1"/>
  <c r="AV74" i="10"/>
  <c r="AW74" i="10" s="1"/>
  <c r="AV57" i="10"/>
  <c r="AW57" i="10" s="1"/>
  <c r="AV88" i="10"/>
  <c r="AW88" i="10" s="1"/>
  <c r="AV65" i="10"/>
  <c r="AW65" i="10" s="1"/>
  <c r="AV51" i="10"/>
  <c r="AW51" i="10" s="1"/>
  <c r="AV85" i="10"/>
  <c r="AW85" i="10" s="1"/>
  <c r="AV90" i="10"/>
  <c r="AW90" i="10" s="1"/>
  <c r="AV50" i="10"/>
  <c r="AW50" i="10" s="1"/>
  <c r="AV59" i="10"/>
  <c r="AW59" i="10" s="1"/>
  <c r="B17" i="12" s="1"/>
  <c r="I17" i="12" s="1"/>
  <c r="AV70" i="10"/>
  <c r="AW70" i="10" s="1"/>
  <c r="AV54" i="10"/>
  <c r="AW54" i="10" s="1"/>
  <c r="AV98" i="10"/>
  <c r="AW98" i="10" s="1"/>
  <c r="AV79" i="10"/>
  <c r="AW79" i="10" s="1"/>
  <c r="AV94" i="10"/>
  <c r="AW94" i="10" s="1"/>
  <c r="AV92" i="10"/>
  <c r="AW92" i="10" s="1"/>
  <c r="AV55" i="10"/>
  <c r="AW55" i="10" s="1"/>
  <c r="AV47" i="10"/>
  <c r="AW47" i="10" s="1"/>
  <c r="AV80" i="10"/>
  <c r="AW80" i="10" s="1"/>
  <c r="AV58" i="10"/>
  <c r="AW58" i="10" s="1"/>
  <c r="AV49" i="10"/>
  <c r="AW49" i="10" s="1"/>
  <c r="AV63" i="10"/>
  <c r="AW63" i="10" s="1"/>
  <c r="AV71" i="10"/>
  <c r="AW71" i="10" s="1"/>
  <c r="AV53" i="10"/>
  <c r="AW53" i="10" s="1"/>
  <c r="AV11" i="10"/>
  <c r="B5" i="7" a="1"/>
  <c r="B5" i="7" s="1"/>
  <c r="C13" i="7" s="1"/>
  <c r="C5" i="7" a="1"/>
  <c r="C5" i="7" s="1"/>
  <c r="C11" i="7" s="1"/>
  <c r="F5" i="7" a="1"/>
  <c r="F5" i="7" s="1"/>
  <c r="G13" i="7" s="1"/>
  <c r="H5" i="7" a="1"/>
  <c r="H5" i="7" s="1"/>
  <c r="G9" i="7" s="1"/>
  <c r="G5" i="7" a="1"/>
  <c r="G5" i="7" s="1"/>
  <c r="AD10" i="1"/>
  <c r="AC11" i="1"/>
  <c r="AC14" i="1"/>
  <c r="AC12" i="1"/>
  <c r="AC17" i="1"/>
  <c r="AC13" i="1"/>
  <c r="AC16" i="1"/>
  <c r="O18" i="12" l="1"/>
  <c r="C18" i="12"/>
  <c r="G18" i="12" s="1"/>
  <c r="D19" i="12"/>
  <c r="B18" i="12"/>
  <c r="I18" i="12" s="1"/>
  <c r="D18" i="12"/>
  <c r="Q18" i="12"/>
  <c r="P18" i="12"/>
  <c r="O19" i="12"/>
  <c r="N19" i="12"/>
  <c r="AC42" i="1"/>
  <c r="C16" i="12"/>
  <c r="H16" i="12" s="1"/>
  <c r="C15" i="12"/>
  <c r="G15" i="12" s="1"/>
  <c r="Q15" i="12"/>
  <c r="O15" i="12"/>
  <c r="D15" i="12"/>
  <c r="E15" i="12" s="1"/>
  <c r="B15" i="12"/>
  <c r="I15" i="12" s="1"/>
  <c r="O13" i="12"/>
  <c r="S13" i="12" s="1"/>
  <c r="C11" i="12"/>
  <c r="G11" i="12" s="1"/>
  <c r="B12" i="12"/>
  <c r="I12" i="12" s="1"/>
  <c r="R11" i="12"/>
  <c r="AW11" i="10"/>
  <c r="P11" i="12"/>
  <c r="G12" i="7"/>
  <c r="C12" i="7"/>
  <c r="G10" i="7"/>
  <c r="G11" i="7"/>
  <c r="AE10" i="1"/>
  <c r="AD14" i="1"/>
  <c r="AD12" i="1"/>
  <c r="AE12" i="1" s="1"/>
  <c r="AD17" i="1"/>
  <c r="AD13" i="1"/>
  <c r="AE13" i="1" s="1"/>
  <c r="AD11" i="1"/>
  <c r="AD42" i="1" s="1"/>
  <c r="AD16" i="1"/>
  <c r="S18" i="12" l="1"/>
  <c r="S19" i="12"/>
  <c r="E19" i="12"/>
  <c r="F19" i="12"/>
  <c r="H18" i="12"/>
  <c r="F18" i="12"/>
  <c r="E18" i="12"/>
  <c r="G16" i="12"/>
  <c r="B11" i="12"/>
  <c r="I11" i="12" s="1"/>
  <c r="S15" i="12"/>
  <c r="F15" i="12"/>
  <c r="H15" i="12"/>
  <c r="AE11" i="1"/>
  <c r="AE17" i="1"/>
  <c r="AE14" i="1"/>
  <c r="Q11" i="12"/>
  <c r="G14" i="7"/>
  <c r="C18" i="7" s="1"/>
  <c r="AF10" i="1"/>
  <c r="AE16" i="1"/>
  <c r="J18" i="12" l="1"/>
  <c r="T18" i="12" s="1"/>
  <c r="O24" i="19" s="1"/>
  <c r="J19" i="12"/>
  <c r="T19" i="12" s="1"/>
  <c r="O20" i="19" s="1"/>
  <c r="AE42" i="1"/>
  <c r="O22" i="19"/>
  <c r="J15" i="12"/>
  <c r="H11" i="12"/>
  <c r="AG10" i="1"/>
  <c r="AF17" i="1"/>
  <c r="AF12" i="1"/>
  <c r="AF11" i="1"/>
  <c r="AF14" i="1"/>
  <c r="AF13" i="1"/>
  <c r="AF16" i="1"/>
  <c r="AY67" i="10" l="1"/>
  <c r="AY68" i="10"/>
  <c r="AY69" i="10"/>
  <c r="AO66" i="10"/>
  <c r="AO60" i="10"/>
  <c r="AO56" i="10"/>
  <c r="AO68" i="10"/>
  <c r="AO44" i="10"/>
  <c r="AY56" i="10"/>
  <c r="AY60" i="10"/>
  <c r="AO67" i="10"/>
  <c r="AY66" i="10"/>
  <c r="AY61" i="10"/>
  <c r="AO69" i="10"/>
  <c r="AO61" i="10"/>
  <c r="AO41" i="10"/>
  <c r="AF42" i="1"/>
  <c r="T15" i="12"/>
  <c r="O27" i="19" s="1"/>
  <c r="AY39" i="10"/>
  <c r="AY26" i="10"/>
  <c r="AY38" i="10"/>
  <c r="AY37" i="10"/>
  <c r="AY35" i="10"/>
  <c r="AY36" i="10"/>
  <c r="AY33" i="10"/>
  <c r="AY25" i="10"/>
  <c r="AY22" i="10"/>
  <c r="AO25" i="10"/>
  <c r="AO33" i="10"/>
  <c r="AO23" i="10"/>
  <c r="AO22" i="10"/>
  <c r="AO30" i="10"/>
  <c r="AO26" i="10"/>
  <c r="AO20" i="10"/>
  <c r="AO35" i="10"/>
  <c r="AO38" i="10"/>
  <c r="AO37" i="10"/>
  <c r="AO40" i="10"/>
  <c r="AO34" i="10"/>
  <c r="AO27" i="10"/>
  <c r="AO29" i="10"/>
  <c r="AO43" i="10"/>
  <c r="AO28" i="10"/>
  <c r="AO21" i="10"/>
  <c r="AO24" i="10"/>
  <c r="AO32" i="10"/>
  <c r="AO36" i="10"/>
  <c r="AO31" i="10"/>
  <c r="AO39" i="10"/>
  <c r="AH10" i="1"/>
  <c r="AO16" i="10"/>
  <c r="AG12" i="1"/>
  <c r="AG11" i="1"/>
  <c r="AG42" i="1" s="1"/>
  <c r="AG17" i="1"/>
  <c r="AG14" i="1"/>
  <c r="AG13" i="1"/>
  <c r="AG16" i="1"/>
  <c r="AH16" i="1" s="1"/>
  <c r="AH13" i="1" l="1"/>
  <c r="AR61" i="10"/>
  <c r="AP61" i="10"/>
  <c r="AS61" i="10"/>
  <c r="AQ61" i="10"/>
  <c r="AR67" i="10"/>
  <c r="AQ67" i="10"/>
  <c r="AS67" i="10"/>
  <c r="AP67" i="10"/>
  <c r="AR68" i="10"/>
  <c r="AQ68" i="10"/>
  <c r="AS68" i="10"/>
  <c r="AP68" i="10"/>
  <c r="BA69" i="10"/>
  <c r="BC69" i="10"/>
  <c r="AZ69" i="10"/>
  <c r="BB69" i="10"/>
  <c r="AR41" i="10"/>
  <c r="AP41" i="10"/>
  <c r="AS41" i="10"/>
  <c r="AQ41" i="10"/>
  <c r="AR66" i="10"/>
  <c r="AP66" i="10"/>
  <c r="AQ66" i="10"/>
  <c r="AS66" i="10"/>
  <c r="AS69" i="10"/>
  <c r="AQ69" i="10"/>
  <c r="AR69" i="10"/>
  <c r="AP69" i="10"/>
  <c r="AZ60" i="10"/>
  <c r="BC60" i="10"/>
  <c r="BA60" i="10"/>
  <c r="BB60" i="10"/>
  <c r="AP56" i="10"/>
  <c r="AQ56" i="10"/>
  <c r="AS56" i="10"/>
  <c r="AR56" i="10"/>
  <c r="AZ68" i="10"/>
  <c r="BA68" i="10"/>
  <c r="BC68" i="10"/>
  <c r="BB68" i="10"/>
  <c r="AZ66" i="10"/>
  <c r="BC66" i="10"/>
  <c r="BA66" i="10"/>
  <c r="BB66" i="10"/>
  <c r="AS44" i="10"/>
  <c r="AR44" i="10"/>
  <c r="AQ44" i="10"/>
  <c r="AP44" i="10"/>
  <c r="AZ61" i="10"/>
  <c r="BB61" i="10"/>
  <c r="BA61" i="10"/>
  <c r="BC61" i="10"/>
  <c r="BC56" i="10"/>
  <c r="AZ56" i="10"/>
  <c r="BB56" i="10"/>
  <c r="BA56" i="10"/>
  <c r="AS60" i="10"/>
  <c r="AQ60" i="10"/>
  <c r="AR60" i="10"/>
  <c r="AP60" i="10"/>
  <c r="BB67" i="10"/>
  <c r="BC67" i="10"/>
  <c r="AZ67" i="10"/>
  <c r="BA67" i="10"/>
  <c r="AH11" i="1"/>
  <c r="AR31" i="10"/>
  <c r="AP31" i="10"/>
  <c r="AQ31" i="10"/>
  <c r="AS31" i="10"/>
  <c r="AR32" i="10"/>
  <c r="AP32" i="10"/>
  <c r="AS32" i="10"/>
  <c r="AQ32" i="10"/>
  <c r="AR21" i="10"/>
  <c r="AP21" i="10"/>
  <c r="AQ21" i="10"/>
  <c r="AS21" i="10"/>
  <c r="AR43" i="10"/>
  <c r="AQ43" i="10"/>
  <c r="AS43" i="10"/>
  <c r="AP43" i="10"/>
  <c r="AR27" i="10"/>
  <c r="AQ27" i="10"/>
  <c r="AS27" i="10"/>
  <c r="AP27" i="10"/>
  <c r="AR40" i="10"/>
  <c r="AP40" i="10"/>
  <c r="AQ40" i="10"/>
  <c r="AS40" i="10"/>
  <c r="AR38" i="10"/>
  <c r="AQ38" i="10"/>
  <c r="AP38" i="10"/>
  <c r="AS38" i="10"/>
  <c r="AR20" i="10"/>
  <c r="AQ20" i="10"/>
  <c r="AP20" i="10"/>
  <c r="AS20" i="10"/>
  <c r="AR30" i="10"/>
  <c r="AQ30" i="10"/>
  <c r="AP30" i="10"/>
  <c r="AS30" i="10"/>
  <c r="AR23" i="10"/>
  <c r="AQ23" i="10"/>
  <c r="AP23" i="10"/>
  <c r="AS23" i="10"/>
  <c r="AR25" i="10"/>
  <c r="AP25" i="10"/>
  <c r="AS25" i="10"/>
  <c r="AQ25" i="10"/>
  <c r="BB25" i="10"/>
  <c r="BA25" i="10"/>
  <c r="BC25" i="10"/>
  <c r="AZ25" i="10"/>
  <c r="BB36" i="10"/>
  <c r="AZ36" i="10"/>
  <c r="BC36" i="10"/>
  <c r="BA36" i="10"/>
  <c r="BA37" i="10"/>
  <c r="BC37" i="10"/>
  <c r="AZ37" i="10"/>
  <c r="BB37" i="10"/>
  <c r="AZ26" i="10"/>
  <c r="BC26" i="10"/>
  <c r="BA26" i="10"/>
  <c r="BB26" i="10"/>
  <c r="AR39" i="10"/>
  <c r="AP39" i="10"/>
  <c r="AS39" i="10"/>
  <c r="AQ39" i="10"/>
  <c r="AR36" i="10"/>
  <c r="AQ36" i="10"/>
  <c r="AS36" i="10"/>
  <c r="AP36" i="10"/>
  <c r="AR24" i="10"/>
  <c r="AQ24" i="10"/>
  <c r="AS24" i="10"/>
  <c r="AP24" i="10"/>
  <c r="AR28" i="10"/>
  <c r="AP28" i="10"/>
  <c r="AS28" i="10"/>
  <c r="AQ28" i="10"/>
  <c r="AR29" i="10"/>
  <c r="AQ29" i="10"/>
  <c r="AP29" i="10"/>
  <c r="AS29" i="10"/>
  <c r="AR34" i="10"/>
  <c r="AQ34" i="10"/>
  <c r="AP34" i="10"/>
  <c r="AS34" i="10"/>
  <c r="AR37" i="10"/>
  <c r="AP37" i="10"/>
  <c r="AS37" i="10"/>
  <c r="AQ37" i="10"/>
  <c r="AR35" i="10"/>
  <c r="AP35" i="10"/>
  <c r="AQ35" i="10"/>
  <c r="AS35" i="10"/>
  <c r="AR26" i="10"/>
  <c r="AQ26" i="10"/>
  <c r="AS26" i="10"/>
  <c r="AP26" i="10"/>
  <c r="AR22" i="10"/>
  <c r="AQ22" i="10"/>
  <c r="AS22" i="10"/>
  <c r="AP22" i="10"/>
  <c r="AR33" i="10"/>
  <c r="AQ33" i="10"/>
  <c r="AP33" i="10"/>
  <c r="AS33" i="10"/>
  <c r="BB22" i="10"/>
  <c r="AZ22" i="10"/>
  <c r="BA22" i="10"/>
  <c r="BC22" i="10"/>
  <c r="BA33" i="10"/>
  <c r="BC33" i="10"/>
  <c r="AZ33" i="10"/>
  <c r="BB33" i="10"/>
  <c r="BB35" i="10"/>
  <c r="BC35" i="10"/>
  <c r="BA35" i="10"/>
  <c r="AZ35" i="10"/>
  <c r="BA38" i="10"/>
  <c r="BC38" i="10"/>
  <c r="AZ38" i="10"/>
  <c r="BB38" i="10"/>
  <c r="BA39" i="10"/>
  <c r="BB39" i="10"/>
  <c r="AZ39" i="10"/>
  <c r="BC39" i="10"/>
  <c r="AR16" i="10"/>
  <c r="AS16" i="10"/>
  <c r="AP16" i="10"/>
  <c r="AQ16" i="10"/>
  <c r="AI10" i="1"/>
  <c r="AH17" i="1"/>
  <c r="AH14" i="1"/>
  <c r="AH12" i="1"/>
  <c r="BD68" i="10" l="1"/>
  <c r="BE68" i="10" s="1"/>
  <c r="BF68" i="10" s="1"/>
  <c r="BG68" i="10" s="1"/>
  <c r="AT56" i="10"/>
  <c r="AU56" i="10" s="1"/>
  <c r="AV56" i="10" s="1"/>
  <c r="AW56" i="10" s="1"/>
  <c r="D16" i="12" s="1"/>
  <c r="E16" i="12" s="1"/>
  <c r="AT41" i="10"/>
  <c r="AU41" i="10" s="1"/>
  <c r="AV41" i="10" s="1"/>
  <c r="AW41" i="10" s="1"/>
  <c r="AT68" i="10"/>
  <c r="AU68" i="10" s="1"/>
  <c r="AV68" i="10" s="1"/>
  <c r="AW68" i="10" s="1"/>
  <c r="AT67" i="10"/>
  <c r="AU67" i="10" s="1"/>
  <c r="AV67" i="10" s="1"/>
  <c r="AW67" i="10" s="1"/>
  <c r="AT61" i="10"/>
  <c r="AU61" i="10" s="1"/>
  <c r="AV61" i="10" s="1"/>
  <c r="AW61" i="10" s="1"/>
  <c r="BD67" i="10"/>
  <c r="BE67" i="10" s="1"/>
  <c r="BF67" i="10" s="1"/>
  <c r="BG67" i="10" s="1"/>
  <c r="BD66" i="10"/>
  <c r="BE66" i="10" s="1"/>
  <c r="BF66" i="10" s="1"/>
  <c r="BG66" i="10" s="1"/>
  <c r="BD60" i="10"/>
  <c r="BE60" i="10" s="1"/>
  <c r="BF60" i="10" s="1"/>
  <c r="BG60" i="10" s="1"/>
  <c r="L17" i="12" s="1"/>
  <c r="BD69" i="10"/>
  <c r="BE69" i="10" s="1"/>
  <c r="BF69" i="10" s="1"/>
  <c r="BG69" i="10" s="1"/>
  <c r="AH42" i="1"/>
  <c r="AT60" i="10"/>
  <c r="AU60" i="10" s="1"/>
  <c r="AV60" i="10" s="1"/>
  <c r="AW60" i="10" s="1"/>
  <c r="C17" i="12" s="1"/>
  <c r="BD56" i="10"/>
  <c r="BE56" i="10" s="1"/>
  <c r="BF56" i="10" s="1"/>
  <c r="BG56" i="10" s="1"/>
  <c r="M16" i="12" s="1"/>
  <c r="AT44" i="10"/>
  <c r="AU44" i="10" s="1"/>
  <c r="AV44" i="10" s="1"/>
  <c r="AW44" i="10" s="1"/>
  <c r="AT69" i="10"/>
  <c r="AU69" i="10" s="1"/>
  <c r="AV69" i="10" s="1"/>
  <c r="AW69" i="10" s="1"/>
  <c r="BD61" i="10"/>
  <c r="BE61" i="10" s="1"/>
  <c r="BF61" i="10" s="1"/>
  <c r="BG61" i="10" s="1"/>
  <c r="AT66" i="10"/>
  <c r="AU66" i="10" s="1"/>
  <c r="AV66" i="10" s="1"/>
  <c r="AW66" i="10" s="1"/>
  <c r="BD39" i="10"/>
  <c r="BE39" i="10" s="1"/>
  <c r="BF39" i="10" s="1"/>
  <c r="BG39" i="10" s="1"/>
  <c r="BD22" i="10"/>
  <c r="BE22" i="10" s="1"/>
  <c r="BF22" i="10" s="1"/>
  <c r="BG22" i="10" s="1"/>
  <c r="L12" i="12" s="1"/>
  <c r="P12" i="12" s="1"/>
  <c r="AT33" i="10"/>
  <c r="AU33" i="10" s="1"/>
  <c r="AV33" i="10" s="1"/>
  <c r="AW33" i="10" s="1"/>
  <c r="AT35" i="10"/>
  <c r="AU35" i="10" s="1"/>
  <c r="AV35" i="10" s="1"/>
  <c r="AW35" i="10" s="1"/>
  <c r="AT34" i="10"/>
  <c r="AU34" i="10" s="1"/>
  <c r="AV34" i="10" s="1"/>
  <c r="AW34" i="10" s="1"/>
  <c r="AT29" i="10"/>
  <c r="AU29" i="10" s="1"/>
  <c r="AV29" i="10" s="1"/>
  <c r="AW29" i="10" s="1"/>
  <c r="AT23" i="10"/>
  <c r="AU23" i="10" s="1"/>
  <c r="AV23" i="10" s="1"/>
  <c r="AW23" i="10" s="1"/>
  <c r="AT30" i="10"/>
  <c r="AU30" i="10" s="1"/>
  <c r="AV30" i="10" s="1"/>
  <c r="AW30" i="10" s="1"/>
  <c r="AT20" i="10"/>
  <c r="AU20" i="10" s="1"/>
  <c r="AV20" i="10" s="1"/>
  <c r="AW20" i="10" s="1"/>
  <c r="AT38" i="10"/>
  <c r="AU38" i="10" s="1"/>
  <c r="AV38" i="10" s="1"/>
  <c r="AW38" i="10" s="1"/>
  <c r="AT40" i="10"/>
  <c r="AU40" i="10" s="1"/>
  <c r="AV40" i="10" s="1"/>
  <c r="AW40" i="10" s="1"/>
  <c r="AT21" i="10"/>
  <c r="AU21" i="10" s="1"/>
  <c r="AV21" i="10" s="1"/>
  <c r="AW21" i="10" s="1"/>
  <c r="AT31" i="10"/>
  <c r="AU31" i="10" s="1"/>
  <c r="AV31" i="10" s="1"/>
  <c r="AW31" i="10" s="1"/>
  <c r="BD26" i="10"/>
  <c r="BE26" i="10" s="1"/>
  <c r="BF26" i="10" s="1"/>
  <c r="BG26" i="10" s="1"/>
  <c r="BD38" i="10"/>
  <c r="BE38" i="10" s="1"/>
  <c r="BF38" i="10" s="1"/>
  <c r="BG38" i="10" s="1"/>
  <c r="BD35" i="10"/>
  <c r="BE35" i="10" s="1"/>
  <c r="BF35" i="10" s="1"/>
  <c r="BG35" i="10" s="1"/>
  <c r="BD33" i="10"/>
  <c r="BE33" i="10" s="1"/>
  <c r="BF33" i="10" s="1"/>
  <c r="BG33" i="10" s="1"/>
  <c r="BD37" i="10"/>
  <c r="BE37" i="10" s="1"/>
  <c r="BF37" i="10" s="1"/>
  <c r="BG37" i="10" s="1"/>
  <c r="AT22" i="10"/>
  <c r="AU22" i="10" s="1"/>
  <c r="AV22" i="10" s="1"/>
  <c r="AW22" i="10" s="1"/>
  <c r="AT26" i="10"/>
  <c r="AU26" i="10" s="1"/>
  <c r="AV26" i="10" s="1"/>
  <c r="AW26" i="10" s="1"/>
  <c r="AT37" i="10"/>
  <c r="AU37" i="10" s="1"/>
  <c r="AV37" i="10" s="1"/>
  <c r="AW37" i="10" s="1"/>
  <c r="AT28" i="10"/>
  <c r="AU28" i="10" s="1"/>
  <c r="AV28" i="10" s="1"/>
  <c r="AW28" i="10" s="1"/>
  <c r="AT24" i="10"/>
  <c r="AU24" i="10" s="1"/>
  <c r="AV24" i="10" s="1"/>
  <c r="AW24" i="10" s="1"/>
  <c r="AT36" i="10"/>
  <c r="AU36" i="10" s="1"/>
  <c r="AV36" i="10" s="1"/>
  <c r="AW36" i="10" s="1"/>
  <c r="AT39" i="10"/>
  <c r="AU39" i="10" s="1"/>
  <c r="AV39" i="10" s="1"/>
  <c r="AW39" i="10" s="1"/>
  <c r="BD36" i="10"/>
  <c r="BE36" i="10" s="1"/>
  <c r="BF36" i="10" s="1"/>
  <c r="BG36" i="10" s="1"/>
  <c r="BD25" i="10"/>
  <c r="BE25" i="10" s="1"/>
  <c r="BF25" i="10" s="1"/>
  <c r="BG25" i="10" s="1"/>
  <c r="AT25" i="10"/>
  <c r="AU25" i="10" s="1"/>
  <c r="AV25" i="10" s="1"/>
  <c r="AW25" i="10" s="1"/>
  <c r="AT27" i="10"/>
  <c r="AU27" i="10" s="1"/>
  <c r="AV27" i="10" s="1"/>
  <c r="AW27" i="10" s="1"/>
  <c r="AT43" i="10"/>
  <c r="AU43" i="10" s="1"/>
  <c r="AV43" i="10" s="1"/>
  <c r="AW43" i="10" s="1"/>
  <c r="AT32" i="10"/>
  <c r="AU32" i="10" s="1"/>
  <c r="AV32" i="10" s="1"/>
  <c r="AW32" i="10" s="1"/>
  <c r="AT16" i="10"/>
  <c r="AU16" i="10" s="1"/>
  <c r="AJ10" i="1"/>
  <c r="AI11" i="1"/>
  <c r="AI13" i="1"/>
  <c r="AJ13" i="1" s="1"/>
  <c r="AI17" i="1"/>
  <c r="AI14" i="1"/>
  <c r="AJ14" i="1" s="1"/>
  <c r="AI12" i="1"/>
  <c r="AI16" i="1"/>
  <c r="M17" i="12" l="1"/>
  <c r="N17" i="12" s="1"/>
  <c r="F16" i="12"/>
  <c r="J16" i="12" s="1"/>
  <c r="D17" i="12"/>
  <c r="E17" i="12" s="1"/>
  <c r="AI42" i="1"/>
  <c r="P17" i="12"/>
  <c r="Q17" i="12"/>
  <c r="G17" i="12"/>
  <c r="H17" i="12"/>
  <c r="O16" i="12"/>
  <c r="N16" i="12"/>
  <c r="AJ17" i="1"/>
  <c r="D13" i="12"/>
  <c r="F13" i="12" s="1"/>
  <c r="AJ11" i="1"/>
  <c r="M12" i="12"/>
  <c r="N12" i="12" s="1"/>
  <c r="C12" i="12"/>
  <c r="G12" i="12" s="1"/>
  <c r="D12" i="12"/>
  <c r="E12" i="12" s="1"/>
  <c r="Q12" i="12"/>
  <c r="AV16" i="10"/>
  <c r="AW16" i="10" s="1"/>
  <c r="D5" i="7" a="1"/>
  <c r="D5" i="7" s="1"/>
  <c r="C9" i="7" s="1"/>
  <c r="AK10" i="1"/>
  <c r="AJ12" i="1"/>
  <c r="AJ16" i="1"/>
  <c r="O17" i="12" l="1"/>
  <c r="S17" i="12" s="1"/>
  <c r="F17" i="12"/>
  <c r="J17" i="12" s="1"/>
  <c r="S16" i="12"/>
  <c r="AK16" i="1"/>
  <c r="AJ42" i="1"/>
  <c r="D11" i="12"/>
  <c r="E11" i="12" s="1"/>
  <c r="E13" i="12"/>
  <c r="J13" i="12" s="1"/>
  <c r="O12" i="12"/>
  <c r="S12" i="12" s="1"/>
  <c r="H12" i="12"/>
  <c r="F12" i="12"/>
  <c r="C10" i="7"/>
  <c r="C14" i="7" s="1"/>
  <c r="C17" i="7" s="1"/>
  <c r="AL10" i="1"/>
  <c r="AK13" i="1"/>
  <c r="AK11" i="1"/>
  <c r="AK42" i="1" s="1"/>
  <c r="AK17" i="1"/>
  <c r="AK14" i="1"/>
  <c r="AK12" i="1"/>
  <c r="T17" i="12" l="1"/>
  <c r="O26" i="19" s="1"/>
  <c r="T16" i="12"/>
  <c r="O21" i="19" s="1"/>
  <c r="AL13" i="1"/>
  <c r="T13" i="12"/>
  <c r="O23" i="19" s="1"/>
  <c r="J12" i="12"/>
  <c r="F11" i="12"/>
  <c r="J11" i="12" s="1"/>
  <c r="N11" i="12"/>
  <c r="O11" i="12"/>
  <c r="AM10" i="1"/>
  <c r="AL11" i="1"/>
  <c r="AL42" i="1" s="1"/>
  <c r="AL17" i="1"/>
  <c r="AM17" i="1" s="1"/>
  <c r="AL12" i="1"/>
  <c r="AM12" i="1" s="1"/>
  <c r="AL14" i="1"/>
  <c r="AL16" i="1"/>
  <c r="T12" i="12" l="1"/>
  <c r="O28" i="19" s="1"/>
  <c r="S11" i="12"/>
  <c r="AN10" i="1"/>
  <c r="AM13" i="1"/>
  <c r="AM11" i="1"/>
  <c r="AM14" i="1"/>
  <c r="AM16" i="1"/>
  <c r="AN16" i="1" s="1"/>
  <c r="AN14" i="1" l="1"/>
  <c r="AM42" i="1"/>
  <c r="T11" i="12"/>
  <c r="O32" i="19" s="1"/>
  <c r="AN11" i="1"/>
  <c r="AO10" i="1"/>
  <c r="AN13" i="1"/>
  <c r="AN17" i="1"/>
  <c r="AN12" i="1"/>
  <c r="AN42" i="1" l="1"/>
  <c r="AP10" i="1"/>
  <c r="AO17" i="1"/>
  <c r="AO12" i="1"/>
  <c r="AO13" i="1"/>
  <c r="AP13" i="1" s="1"/>
  <c r="AO11" i="1"/>
  <c r="AO14" i="1"/>
  <c r="AO16" i="1"/>
  <c r="AP16" i="1" s="1"/>
  <c r="AO42" i="1" l="1"/>
  <c r="AP11" i="1"/>
  <c r="AP14" i="1"/>
  <c r="AP17" i="1"/>
  <c r="AP12" i="1"/>
  <c r="AP42" i="1" l="1"/>
</calcChain>
</file>

<file path=xl/comments1.xml><?xml version="1.0" encoding="utf-8"?>
<comments xmlns="http://schemas.openxmlformats.org/spreadsheetml/2006/main">
  <authors>
    <author>Mark Lorie</author>
  </authors>
  <commentList>
    <comment ref="B8" authorId="0" shapeId="0">
      <text>
        <r>
          <rPr>
            <b/>
            <sz val="9"/>
            <color indexed="81"/>
            <rFont val="Tahoma"/>
            <family val="2"/>
          </rPr>
          <t>Mark Lorie:</t>
        </r>
        <r>
          <rPr>
            <sz val="9"/>
            <color indexed="81"/>
            <rFont val="Tahoma"/>
            <family val="2"/>
          </rPr>
          <t xml:space="preserve">
Each of these elements below is one triangle/rectangle of the area under the curve</t>
        </r>
      </text>
    </comment>
    <comment ref="F8" authorId="0" shapeId="0">
      <text>
        <r>
          <rPr>
            <b/>
            <sz val="9"/>
            <color indexed="81"/>
            <rFont val="Tahoma"/>
            <family val="2"/>
          </rPr>
          <t>Mark Lorie:</t>
        </r>
        <r>
          <rPr>
            <sz val="9"/>
            <color indexed="81"/>
            <rFont val="Tahoma"/>
            <family val="2"/>
          </rPr>
          <t xml:space="preserve">
Each of these elements below is one triangle/rectangle of the area under the curve</t>
        </r>
      </text>
    </comment>
  </commentList>
</comments>
</file>

<file path=xl/comments2.xml><?xml version="1.0" encoding="utf-8"?>
<comments xmlns="http://schemas.openxmlformats.org/spreadsheetml/2006/main">
  <authors>
    <author>Mark Lorie</author>
  </authors>
  <commentList>
    <comment ref="C10" authorId="0" shapeId="0">
      <text>
        <r>
          <rPr>
            <b/>
            <sz val="9"/>
            <color indexed="81"/>
            <rFont val="Tahoma"/>
            <family val="2"/>
          </rPr>
          <t>Mark Lorie:</t>
        </r>
        <r>
          <rPr>
            <sz val="9"/>
            <color indexed="81"/>
            <rFont val="Tahoma"/>
            <family val="2"/>
          </rPr>
          <t xml:space="preserve">
Total number of buildings exposed by project and site for 2 year event</t>
        </r>
      </text>
    </comment>
    <comment ref="D10" authorId="0" shapeId="0">
      <text>
        <r>
          <rPr>
            <b/>
            <sz val="9"/>
            <color indexed="81"/>
            <rFont val="Tahoma"/>
            <family val="2"/>
          </rPr>
          <t>Mark Lorie:</t>
        </r>
        <r>
          <rPr>
            <sz val="9"/>
            <color indexed="81"/>
            <rFont val="Tahoma"/>
            <family val="2"/>
          </rPr>
          <t xml:space="preserve">
Total number of buildings
 exposed by project and site for 20 year event</t>
        </r>
      </text>
    </comment>
    <comment ref="E10" authorId="0" shapeId="0">
      <text>
        <r>
          <rPr>
            <b/>
            <sz val="9"/>
            <color indexed="81"/>
            <rFont val="Tahoma"/>
            <family val="2"/>
          </rPr>
          <t>Mark Lorie:</t>
        </r>
        <r>
          <rPr>
            <sz val="9"/>
            <color indexed="81"/>
            <rFont val="Tahoma"/>
            <family val="2"/>
          </rPr>
          <t xml:space="preserve">
Total number of buildings exposed by project and site for 100 year event</t>
        </r>
      </text>
    </comment>
    <comment ref="L10" authorId="0" shapeId="0">
      <text>
        <r>
          <rPr>
            <b/>
            <sz val="9"/>
            <color indexed="81"/>
            <rFont val="Tahoma"/>
            <family val="2"/>
          </rPr>
          <t>Mark Lorie:</t>
        </r>
        <r>
          <rPr>
            <sz val="9"/>
            <color indexed="81"/>
            <rFont val="Tahoma"/>
            <family val="2"/>
          </rPr>
          <t xml:space="preserve">
Total number of buildings exposed by project and site for 2 year event</t>
        </r>
      </text>
    </comment>
    <comment ref="M10" authorId="0" shapeId="0">
      <text>
        <r>
          <rPr>
            <b/>
            <sz val="9"/>
            <color indexed="81"/>
            <rFont val="Tahoma"/>
            <family val="2"/>
          </rPr>
          <t>Mark Lorie:</t>
        </r>
        <r>
          <rPr>
            <sz val="9"/>
            <color indexed="81"/>
            <rFont val="Tahoma"/>
            <family val="2"/>
          </rPr>
          <t xml:space="preserve">
Total number of buildings
 exposed by project and site for 20 year event</t>
        </r>
      </text>
    </comment>
    <comment ref="N10" authorId="0" shapeId="0">
      <text>
        <r>
          <rPr>
            <b/>
            <sz val="9"/>
            <color indexed="81"/>
            <rFont val="Tahoma"/>
            <family val="2"/>
          </rPr>
          <t>Mark Lorie:</t>
        </r>
        <r>
          <rPr>
            <sz val="9"/>
            <color indexed="81"/>
            <rFont val="Tahoma"/>
            <family val="2"/>
          </rPr>
          <t xml:space="preserve">
Total number of buildings exposed by project and site for 100 year event</t>
        </r>
      </text>
    </comment>
  </commentList>
</comments>
</file>

<file path=xl/comments3.xml><?xml version="1.0" encoding="utf-8"?>
<comments xmlns="http://schemas.openxmlformats.org/spreadsheetml/2006/main">
  <authors>
    <author>Mark Lorie</author>
  </authors>
  <commentList>
    <comment ref="B10" authorId="0" shapeId="0">
      <text>
        <r>
          <rPr>
            <b/>
            <sz val="9"/>
            <color indexed="81"/>
            <rFont val="Tahoma"/>
            <family val="2"/>
          </rPr>
          <t>Mark Lorie:</t>
        </r>
        <r>
          <rPr>
            <sz val="9"/>
            <color indexed="81"/>
            <rFont val="Tahoma"/>
            <family val="2"/>
          </rPr>
          <t xml:space="preserve">
Total damages in 2020$ by project for 2 year event</t>
        </r>
      </text>
    </comment>
    <comment ref="C10" authorId="0" shapeId="0">
      <text>
        <r>
          <rPr>
            <b/>
            <sz val="9"/>
            <color indexed="81"/>
            <rFont val="Tahoma"/>
            <family val="2"/>
          </rPr>
          <t>Mark Lorie:</t>
        </r>
        <r>
          <rPr>
            <sz val="9"/>
            <color indexed="81"/>
            <rFont val="Tahoma"/>
            <family val="2"/>
          </rPr>
          <t xml:space="preserve">
Total damages in 2020$ by project for 20 year event</t>
        </r>
      </text>
    </comment>
    <comment ref="D10" authorId="0" shapeId="0">
      <text>
        <r>
          <rPr>
            <b/>
            <sz val="9"/>
            <color indexed="81"/>
            <rFont val="Tahoma"/>
            <family val="2"/>
          </rPr>
          <t>Mark Lorie:</t>
        </r>
        <r>
          <rPr>
            <sz val="9"/>
            <color indexed="81"/>
            <rFont val="Tahoma"/>
            <family val="2"/>
          </rPr>
          <t xml:space="preserve">
Total damages in 2020$ by project for 100 year event</t>
        </r>
      </text>
    </comment>
    <comment ref="K10" authorId="0" shapeId="0">
      <text>
        <r>
          <rPr>
            <b/>
            <sz val="9"/>
            <color indexed="81"/>
            <rFont val="Tahoma"/>
            <family val="2"/>
          </rPr>
          <t>Mark Lorie:</t>
        </r>
        <r>
          <rPr>
            <sz val="9"/>
            <color indexed="81"/>
            <rFont val="Tahoma"/>
            <family val="2"/>
          </rPr>
          <t xml:space="preserve">
Total damages in 2020$ by project  for 2 year event</t>
        </r>
      </text>
    </comment>
    <comment ref="L10" authorId="0" shapeId="0">
      <text>
        <r>
          <rPr>
            <b/>
            <sz val="9"/>
            <color indexed="81"/>
            <rFont val="Tahoma"/>
            <family val="2"/>
          </rPr>
          <t>Mark Lorie:</t>
        </r>
        <r>
          <rPr>
            <sz val="9"/>
            <color indexed="81"/>
            <rFont val="Tahoma"/>
            <family val="2"/>
          </rPr>
          <t xml:space="preserve">
Total damages in 2020$ by project for 20 year event</t>
        </r>
      </text>
    </comment>
    <comment ref="M10" authorId="0" shapeId="0">
      <text>
        <r>
          <rPr>
            <b/>
            <sz val="9"/>
            <color indexed="81"/>
            <rFont val="Tahoma"/>
            <family val="2"/>
          </rPr>
          <t>Mark Lorie:</t>
        </r>
        <r>
          <rPr>
            <sz val="9"/>
            <color indexed="81"/>
            <rFont val="Tahoma"/>
            <family val="2"/>
          </rPr>
          <t xml:space="preserve">
Total damages in 2020$ by project for 100 year event</t>
        </r>
      </text>
    </comment>
  </commentList>
</comments>
</file>

<file path=xl/comments4.xml><?xml version="1.0" encoding="utf-8"?>
<comments xmlns="http://schemas.openxmlformats.org/spreadsheetml/2006/main">
  <authors>
    <author>Mark Lorie</author>
  </authors>
  <commentList>
    <comment ref="A1" authorId="0" shapeId="0">
      <text>
        <r>
          <rPr>
            <b/>
            <sz val="9"/>
            <color indexed="81"/>
            <rFont val="Tahoma"/>
            <family val="2"/>
          </rPr>
          <t>Mark Lorie:</t>
        </r>
        <r>
          <rPr>
            <sz val="9"/>
            <color indexed="81"/>
            <rFont val="Tahoma"/>
            <family val="2"/>
          </rPr>
          <t xml:space="preserve">
Calculates damages pre and post project for each project and site</t>
        </r>
      </text>
    </comment>
    <comment ref="I10" authorId="0" shapeId="0">
      <text>
        <r>
          <rPr>
            <b/>
            <sz val="9"/>
            <color indexed="81"/>
            <rFont val="Tahoma"/>
            <charset val="1"/>
          </rPr>
          <t>Mark Lorie:</t>
        </r>
        <r>
          <rPr>
            <sz val="9"/>
            <color indexed="81"/>
            <rFont val="Tahoma"/>
            <charset val="1"/>
          </rPr>
          <t xml:space="preserve">
negative value means no flooding and is used as a zero for damage calcs</t>
        </r>
      </text>
    </comment>
    <comment ref="L10" authorId="0" shapeId="0">
      <text>
        <r>
          <rPr>
            <b/>
            <sz val="9"/>
            <color indexed="81"/>
            <rFont val="Tahoma"/>
            <charset val="1"/>
          </rPr>
          <t>Mark Lorie:</t>
        </r>
        <r>
          <rPr>
            <sz val="9"/>
            <color indexed="81"/>
            <rFont val="Tahoma"/>
            <charset val="1"/>
          </rPr>
          <t xml:space="preserve">
Not used here but is used for commercial losses</t>
        </r>
      </text>
    </comment>
    <comment ref="O10" authorId="0" shapeId="0">
      <text>
        <r>
          <rPr>
            <b/>
            <sz val="9"/>
            <color indexed="81"/>
            <rFont val="Tahoma"/>
            <charset val="1"/>
          </rPr>
          <t>Mark Lorie:</t>
        </r>
        <r>
          <rPr>
            <sz val="9"/>
            <color indexed="81"/>
            <rFont val="Tahoma"/>
            <charset val="1"/>
          </rPr>
          <t xml:space="preserve">
negative value means no flooding and is used as a zero for damage calcs</t>
        </r>
      </text>
    </comment>
    <comment ref="U10" authorId="0" shapeId="0">
      <text>
        <r>
          <rPr>
            <b/>
            <sz val="9"/>
            <color indexed="81"/>
            <rFont val="Tahoma"/>
            <charset val="1"/>
          </rPr>
          <t>Mark Lorie:</t>
        </r>
        <r>
          <rPr>
            <sz val="9"/>
            <color indexed="81"/>
            <rFont val="Tahoma"/>
            <charset val="1"/>
          </rPr>
          <t xml:space="preserve">
Estimate replacement value of the structure</t>
        </r>
      </text>
    </comment>
    <comment ref="X10" authorId="0" shapeId="0">
      <text>
        <r>
          <rPr>
            <b/>
            <sz val="9"/>
            <color indexed="81"/>
            <rFont val="Tahoma"/>
            <charset val="1"/>
          </rPr>
          <t>Mark Lorie:</t>
        </r>
        <r>
          <rPr>
            <sz val="9"/>
            <color indexed="81"/>
            <rFont val="Tahoma"/>
            <charset val="1"/>
          </rPr>
          <t xml:space="preserve">
occupancy categories from HAZUS. UNK = unknown, i.e., not enough info to categorize the bulding </t>
        </r>
      </text>
    </comment>
    <comment ref="AB10" authorId="0" shapeId="0">
      <text>
        <r>
          <rPr>
            <b/>
            <sz val="9"/>
            <color indexed="81"/>
            <rFont val="Tahoma"/>
            <charset val="1"/>
          </rPr>
          <t xml:space="preserve">Mark Lorie:
</t>
        </r>
        <r>
          <rPr>
            <sz val="9"/>
            <color indexed="81"/>
            <rFont val="Tahoma"/>
            <charset val="1"/>
          </rPr>
          <t xml:space="preserve">If foundation is piers, we limit sotries to no more than 2, because we do not have a damage fxn for houses of 3+ stories and on piers.
</t>
        </r>
      </text>
    </comment>
    <comment ref="AC10" authorId="0" shapeId="0">
      <text>
        <r>
          <rPr>
            <b/>
            <sz val="9"/>
            <color indexed="81"/>
            <rFont val="Tahoma"/>
            <charset val="1"/>
          </rPr>
          <t>Mark Lorie:</t>
        </r>
        <r>
          <rPr>
            <sz val="9"/>
            <color indexed="81"/>
            <rFont val="Tahoma"/>
            <charset val="1"/>
          </rPr>
          <t xml:space="preserve">
We used HAZUS assumed values for each foudnation type. See table 3.15 in Hazus flood manual.
We used 9 feet for piers, taken from USACE, 2015</t>
        </r>
      </text>
    </comment>
    <comment ref="AG10" authorId="0" shapeId="0">
      <text>
        <r>
          <rPr>
            <b/>
            <sz val="9"/>
            <color indexed="81"/>
            <rFont val="Tahoma"/>
            <charset val="1"/>
          </rPr>
          <t>Mark Lorie:</t>
        </r>
        <r>
          <rPr>
            <sz val="9"/>
            <color indexed="81"/>
            <rFont val="Tahoma"/>
            <charset val="1"/>
          </rPr>
          <t xml:space="preserve">
no longer used
</t>
        </r>
      </text>
    </comment>
    <comment ref="AK10" authorId="0" shapeId="0">
      <text>
        <r>
          <rPr>
            <b/>
            <sz val="9"/>
            <color indexed="81"/>
            <rFont val="Tahoma"/>
            <family val="2"/>
          </rPr>
          <t>Mark Lorie:</t>
        </r>
        <r>
          <rPr>
            <sz val="9"/>
            <color indexed="81"/>
            <rFont val="Tahoma"/>
            <family val="2"/>
          </rPr>
          <t xml:space="preserve">
ID's whether the building falls into Residnetial, Commerical or Public categories</t>
        </r>
      </text>
    </comment>
    <comment ref="AL10" authorId="0" shapeId="0">
      <text>
        <r>
          <rPr>
            <b/>
            <sz val="9"/>
            <color indexed="81"/>
            <rFont val="Tahoma"/>
            <family val="2"/>
          </rPr>
          <t>Mark Lorie:</t>
        </r>
        <r>
          <rPr>
            <sz val="9"/>
            <color indexed="81"/>
            <rFont val="Tahoma"/>
            <family val="2"/>
          </rPr>
          <t xml:space="preserve">
Creates a unique ID for depth damage function to ID the row the the DDF table
The unique ID is combo of Type (col X), stories, and foundation</t>
        </r>
      </text>
    </comment>
    <comment ref="AM10" authorId="0" shapeId="0">
      <text>
        <r>
          <rPr>
            <b/>
            <sz val="9"/>
            <color indexed="81"/>
            <rFont val="Tahoma"/>
            <family val="2"/>
          </rPr>
          <t>Mark Lorie:</t>
        </r>
        <r>
          <rPr>
            <sz val="9"/>
            <color indexed="81"/>
            <rFont val="Tahoma"/>
            <family val="2"/>
          </rPr>
          <t xml:space="preserve">
Row in the DDF table for the appropriate damage function</t>
        </r>
      </text>
    </comment>
    <comment ref="AN10" authorId="0" shapeId="0">
      <text>
        <r>
          <rPr>
            <b/>
            <sz val="9"/>
            <color indexed="81"/>
            <rFont val="Tahoma"/>
            <family val="2"/>
          </rPr>
          <t>Mark Lorie:</t>
        </r>
        <r>
          <rPr>
            <sz val="9"/>
            <color indexed="81"/>
            <rFont val="Tahoma"/>
            <family val="2"/>
          </rPr>
          <t xml:space="preserve">
Subtract FFE
If original depth is negative, that means there is no exposure to flooding (i.e., flood waters do not reach the buildng footprint), replace with -99 to ensure zero damage</t>
        </r>
      </text>
    </comment>
    <comment ref="AO10" authorId="0" shapeId="0">
      <text>
        <r>
          <rPr>
            <b/>
            <sz val="9"/>
            <color indexed="81"/>
            <rFont val="Tahoma"/>
            <family val="2"/>
          </rPr>
          <t>Mark Lorie:</t>
        </r>
        <r>
          <rPr>
            <sz val="9"/>
            <color indexed="81"/>
            <rFont val="Tahoma"/>
            <family val="2"/>
          </rPr>
          <t xml:space="preserve">
Position on the Damage function
</t>
        </r>
      </text>
    </comment>
    <comment ref="AP10" authorId="0" shapeId="0">
      <text>
        <r>
          <rPr>
            <b/>
            <sz val="9"/>
            <color indexed="81"/>
            <rFont val="Tahoma"/>
            <family val="2"/>
          </rPr>
          <t>Mark Lorie:</t>
        </r>
        <r>
          <rPr>
            <sz val="9"/>
            <color indexed="81"/>
            <rFont val="Tahoma"/>
            <family val="2"/>
          </rPr>
          <t xml:space="preserve">
Depth at the point on the curve just below our Exposure Depth
</t>
        </r>
      </text>
    </comment>
    <comment ref="AQ10" authorId="0" shapeId="0">
      <text>
        <r>
          <rPr>
            <b/>
            <sz val="9"/>
            <color indexed="81"/>
            <rFont val="Tahoma"/>
            <family val="2"/>
          </rPr>
          <t>Mark Lorie:</t>
        </r>
        <r>
          <rPr>
            <sz val="9"/>
            <color indexed="81"/>
            <rFont val="Tahoma"/>
            <family val="2"/>
          </rPr>
          <t xml:space="preserve">
Depth at the point on th curve just above our exposure depth
</t>
        </r>
      </text>
    </comment>
    <comment ref="AR10" authorId="0" shapeId="0">
      <text>
        <r>
          <rPr>
            <b/>
            <sz val="9"/>
            <color indexed="81"/>
            <rFont val="Tahoma"/>
            <family val="2"/>
          </rPr>
          <t>Mark Lorie:</t>
        </r>
        <r>
          <rPr>
            <sz val="9"/>
            <color indexed="81"/>
            <rFont val="Tahoma"/>
            <family val="2"/>
          </rPr>
          <t xml:space="preserve">
percent damage at the point on the curve just below exposure depth</t>
        </r>
      </text>
    </comment>
    <comment ref="AS10" authorId="0" shapeId="0">
      <text>
        <r>
          <rPr>
            <b/>
            <sz val="9"/>
            <color indexed="81"/>
            <rFont val="Tahoma"/>
            <family val="2"/>
          </rPr>
          <t>Mark Lorie:</t>
        </r>
        <r>
          <rPr>
            <sz val="9"/>
            <color indexed="81"/>
            <rFont val="Tahoma"/>
            <family val="2"/>
          </rPr>
          <t xml:space="preserve">
Percent damage at the point on the curve just above our exposure depth</t>
        </r>
      </text>
    </comment>
    <comment ref="AU10" authorId="0" shapeId="0">
      <text>
        <r>
          <rPr>
            <b/>
            <sz val="9"/>
            <color indexed="81"/>
            <rFont val="Tahoma"/>
            <charset val="1"/>
          </rPr>
          <t>Mark Lorie:</t>
        </r>
        <r>
          <rPr>
            <sz val="9"/>
            <color indexed="81"/>
            <rFont val="Tahoma"/>
            <charset val="1"/>
          </rPr>
          <t xml:space="preserve">
Interpolates, starting with DDF.Pct1. This is the percent damage
</t>
        </r>
      </text>
    </comment>
    <comment ref="AV10" authorId="0" shapeId="0">
      <text>
        <r>
          <rPr>
            <b/>
            <sz val="9"/>
            <color indexed="81"/>
            <rFont val="Tahoma"/>
            <charset val="1"/>
          </rPr>
          <t>Mark Lorie:</t>
        </r>
        <r>
          <rPr>
            <sz val="9"/>
            <color indexed="81"/>
            <rFont val="Tahoma"/>
            <charset val="1"/>
          </rPr>
          <t xml:space="preserve">
converts percent to decimal and multiply by replacement value</t>
        </r>
      </text>
    </comment>
    <comment ref="AW10" authorId="0" shapeId="0">
      <text>
        <r>
          <rPr>
            <b/>
            <sz val="9"/>
            <color indexed="81"/>
            <rFont val="Tahoma"/>
            <family val="2"/>
          </rPr>
          <t>Mark Lorie:</t>
        </r>
        <r>
          <rPr>
            <sz val="9"/>
            <color indexed="81"/>
            <rFont val="Tahoma"/>
            <family val="2"/>
          </rPr>
          <t xml:space="preserve">
Convert damage to 2020  dollars. 
First checks if the depth is zero (col AN, PreExpDepth). If so, sets damage to zero
</t>
        </r>
      </text>
    </comment>
    <comment ref="AX10" authorId="0" shapeId="0">
      <text>
        <r>
          <rPr>
            <b/>
            <sz val="9"/>
            <color indexed="81"/>
            <rFont val="Tahoma"/>
            <family val="2"/>
          </rPr>
          <t>Mark Lorie:</t>
        </r>
        <r>
          <rPr>
            <sz val="9"/>
            <color indexed="81"/>
            <rFont val="Tahoma"/>
            <family val="2"/>
          </rPr>
          <t xml:space="preserve">
Subtract FFE
If original depth is negative, that means there is no exposure to flooding (i.e., flood waters do not reach the buildng footprint), replace with -99 to ensure zero damage</t>
        </r>
      </text>
    </comment>
    <comment ref="AY10" authorId="0" shapeId="0">
      <text>
        <r>
          <rPr>
            <b/>
            <sz val="9"/>
            <color indexed="81"/>
            <rFont val="Tahoma"/>
            <family val="2"/>
          </rPr>
          <t>Mark Lorie:</t>
        </r>
        <r>
          <rPr>
            <sz val="9"/>
            <color indexed="81"/>
            <rFont val="Tahoma"/>
            <family val="2"/>
          </rPr>
          <t xml:space="preserve">
Position on the Damage function
</t>
        </r>
      </text>
    </comment>
    <comment ref="AZ10" authorId="0" shapeId="0">
      <text>
        <r>
          <rPr>
            <b/>
            <sz val="9"/>
            <color indexed="81"/>
            <rFont val="Tahoma"/>
            <family val="2"/>
          </rPr>
          <t>Mark Lorie:</t>
        </r>
        <r>
          <rPr>
            <sz val="9"/>
            <color indexed="81"/>
            <rFont val="Tahoma"/>
            <family val="2"/>
          </rPr>
          <t xml:space="preserve">
Depth at the point on the curve just below our Exposure Depth
</t>
        </r>
      </text>
    </comment>
    <comment ref="BA10" authorId="0" shapeId="0">
      <text>
        <r>
          <rPr>
            <b/>
            <sz val="9"/>
            <color indexed="81"/>
            <rFont val="Tahoma"/>
            <family val="2"/>
          </rPr>
          <t>Mark Lorie:</t>
        </r>
        <r>
          <rPr>
            <sz val="9"/>
            <color indexed="81"/>
            <rFont val="Tahoma"/>
            <family val="2"/>
          </rPr>
          <t xml:space="preserve">
Depth at the point on th curve just above our exposure depth
</t>
        </r>
      </text>
    </comment>
    <comment ref="BB10" authorId="0" shapeId="0">
      <text>
        <r>
          <rPr>
            <b/>
            <sz val="9"/>
            <color indexed="81"/>
            <rFont val="Tahoma"/>
            <family val="2"/>
          </rPr>
          <t>Mark Lorie:</t>
        </r>
        <r>
          <rPr>
            <sz val="9"/>
            <color indexed="81"/>
            <rFont val="Tahoma"/>
            <family val="2"/>
          </rPr>
          <t xml:space="preserve">
percent damage at the point on the curve just below exposure depth</t>
        </r>
      </text>
    </comment>
    <comment ref="BC10" authorId="0" shapeId="0">
      <text>
        <r>
          <rPr>
            <b/>
            <sz val="9"/>
            <color indexed="81"/>
            <rFont val="Tahoma"/>
            <family val="2"/>
          </rPr>
          <t>Mark Lorie:</t>
        </r>
        <r>
          <rPr>
            <sz val="9"/>
            <color indexed="81"/>
            <rFont val="Tahoma"/>
            <family val="2"/>
          </rPr>
          <t xml:space="preserve">
Percent damage at the point on the curve just above our exposure depth</t>
        </r>
      </text>
    </comment>
    <comment ref="BF10" authorId="0" shapeId="0">
      <text>
        <r>
          <rPr>
            <b/>
            <sz val="9"/>
            <color indexed="81"/>
            <rFont val="Tahoma"/>
            <charset val="1"/>
          </rPr>
          <t>Mark Lorie:</t>
        </r>
        <r>
          <rPr>
            <sz val="9"/>
            <color indexed="81"/>
            <rFont val="Tahoma"/>
            <charset val="1"/>
          </rPr>
          <t xml:space="preserve">
converts percent to decimal and multiply by replacement value</t>
        </r>
      </text>
    </comment>
    <comment ref="BG10" authorId="0" shapeId="0">
      <text>
        <r>
          <rPr>
            <b/>
            <sz val="9"/>
            <color indexed="81"/>
            <rFont val="Tahoma"/>
            <family val="2"/>
          </rPr>
          <t>Mark Lorie:</t>
        </r>
        <r>
          <rPr>
            <sz val="9"/>
            <color indexed="81"/>
            <rFont val="Tahoma"/>
            <family val="2"/>
          </rPr>
          <t xml:space="preserve">
Convert damage to 2020  dollars. 
First checks if the depth is zero (col AN, PreExpDepth). If so, sets damage to zero
</t>
        </r>
      </text>
    </comment>
  </commentList>
</comments>
</file>

<file path=xl/comments5.xml><?xml version="1.0" encoding="utf-8"?>
<comments xmlns="http://schemas.openxmlformats.org/spreadsheetml/2006/main">
  <authors>
    <author>Mark Lorie</author>
    <author>Chris Dixon</author>
    <author>Emma Glidden-Lyon</author>
  </authors>
  <commentList>
    <comment ref="A1" authorId="0" shapeId="0">
      <text>
        <r>
          <rPr>
            <b/>
            <sz val="9"/>
            <color indexed="81"/>
            <rFont val="Tahoma"/>
            <family val="2"/>
          </rPr>
          <t>Mark Lorie:</t>
        </r>
        <r>
          <rPr>
            <sz val="9"/>
            <color indexed="81"/>
            <rFont val="Tahoma"/>
            <family val="2"/>
          </rPr>
          <t xml:space="preserve">
pasted from pre-metric workbook. 
That workbook might change, but used columans as of 7/24 8:15 am</t>
        </r>
      </text>
    </comment>
    <comment ref="D10" authorId="1" shapeId="0">
      <text>
        <r>
          <rPr>
            <sz val="9"/>
            <color indexed="81"/>
            <rFont val="Tahoma"/>
            <family val="2"/>
          </rPr>
          <t>I created a dummy placeholder for this so that I could test the new metric by project caculation
Pearl will replace this with a real Unique ID</t>
        </r>
      </text>
    </comment>
    <comment ref="H10" authorId="1" shapeId="0">
      <text>
        <r>
          <rPr>
            <b/>
            <sz val="9"/>
            <color indexed="81"/>
            <rFont val="Tahoma"/>
            <family val="2"/>
          </rPr>
          <t>Chris Dixon:</t>
        </r>
        <r>
          <rPr>
            <sz val="9"/>
            <color indexed="81"/>
            <rFont val="Tahoma"/>
            <family val="2"/>
          </rPr>
          <t xml:space="preserve">
this is flood depth from ground level. </t>
        </r>
      </text>
    </comment>
    <comment ref="N10" authorId="1" shapeId="0">
      <text>
        <r>
          <rPr>
            <b/>
            <sz val="9"/>
            <color indexed="81"/>
            <rFont val="Tahoma"/>
            <family val="2"/>
          </rPr>
          <t>Chris Dixon:</t>
        </r>
        <r>
          <rPr>
            <sz val="9"/>
            <color indexed="81"/>
            <rFont val="Tahoma"/>
            <family val="2"/>
          </rPr>
          <t xml:space="preserve">
are these flood depth from ground? That is to say that if they do not rise above the FFE then the structure is not flooded?
We simply need the flood depth at the strucutre (minus FFE). </t>
        </r>
      </text>
    </comment>
    <comment ref="X10" authorId="1" shapeId="0">
      <text>
        <r>
          <rPr>
            <b/>
            <sz val="9"/>
            <color indexed="81"/>
            <rFont val="Tahoma"/>
            <family val="2"/>
          </rPr>
          <t>Chris Dixon:</t>
        </r>
        <r>
          <rPr>
            <sz val="9"/>
            <color indexed="81"/>
            <rFont val="Tahoma"/>
            <family val="2"/>
          </rPr>
          <t xml:space="preserve">
Ask Mark if he's classifying this into Residential, Commercial, Public or Recreational instead of the occupancy class that is currenlty used? </t>
        </r>
      </text>
    </comment>
    <comment ref="Z10" authorId="1" shapeId="0">
      <text>
        <r>
          <rPr>
            <b/>
            <sz val="9"/>
            <color indexed="81"/>
            <rFont val="Tahoma"/>
            <family val="2"/>
          </rPr>
          <t>Chris Dixon:</t>
        </r>
        <r>
          <rPr>
            <sz val="9"/>
            <color indexed="81"/>
            <rFont val="Tahoma"/>
            <family val="2"/>
          </rPr>
          <t xml:space="preserve">
Slab, Basement or Elevated</t>
        </r>
      </text>
    </comment>
    <comment ref="AA10" authorId="1" shapeId="0">
      <text>
        <r>
          <rPr>
            <b/>
            <sz val="9"/>
            <color indexed="81"/>
            <rFont val="Tahoma"/>
            <family val="2"/>
          </rPr>
          <t>Chris Dixon:</t>
        </r>
        <r>
          <rPr>
            <sz val="9"/>
            <color indexed="81"/>
            <rFont val="Tahoma"/>
            <family val="2"/>
          </rPr>
          <t xml:space="preserve">
when this is blank then use Russ' shape_area</t>
        </r>
      </text>
    </comment>
    <comment ref="AD10" authorId="2" shapeId="0">
      <text>
        <r>
          <rPr>
            <b/>
            <sz val="9"/>
            <color indexed="81"/>
            <rFont val="Tahoma"/>
            <charset val="1"/>
          </rPr>
          <t>Emma Glidden-Lyon:</t>
        </r>
        <r>
          <rPr>
            <sz val="9"/>
            <color indexed="81"/>
            <rFont val="Tahoma"/>
            <charset val="1"/>
          </rPr>
          <t xml:space="preserve">
https://www.fema.gov/media-library-data/20130726-1820-25045-8292/hzmh2_1_fl_tm.pdf</t>
        </r>
      </text>
    </comment>
    <comment ref="AG10" authorId="2" shapeId="0">
      <text>
        <r>
          <rPr>
            <b/>
            <sz val="9"/>
            <color indexed="81"/>
            <rFont val="Tahoma"/>
            <family val="2"/>
          </rPr>
          <t>No longer used</t>
        </r>
        <r>
          <rPr>
            <sz val="9"/>
            <color indexed="81"/>
            <rFont val="Tahoma"/>
            <family val="2"/>
          </rPr>
          <t xml:space="preserve"> </t>
        </r>
      </text>
    </comment>
  </commentList>
</comments>
</file>

<file path=xl/comments6.xml><?xml version="1.0" encoding="utf-8"?>
<comments xmlns="http://schemas.openxmlformats.org/spreadsheetml/2006/main">
  <authors>
    <author>Mark Lorie</author>
  </authors>
  <commentList>
    <comment ref="F18" authorId="0" shapeId="0">
      <text>
        <r>
          <rPr>
            <b/>
            <sz val="9"/>
            <color indexed="81"/>
            <rFont val="Tahoma"/>
            <family val="2"/>
          </rPr>
          <t>Mark Lorie:</t>
        </r>
        <r>
          <rPr>
            <sz val="9"/>
            <color indexed="81"/>
            <rFont val="Tahoma"/>
            <family val="2"/>
          </rPr>
          <t xml:space="preserve">
GOV1  USACE - Galveston Average government services, structure
</t>
        </r>
      </text>
    </comment>
    <comment ref="F41" authorId="0" shapeId="0">
      <text>
        <r>
          <rPr>
            <b/>
            <sz val="9"/>
            <color indexed="81"/>
            <rFont val="Tahoma"/>
            <charset val="1"/>
          </rPr>
          <t>Mark Lorie:</t>
        </r>
        <r>
          <rPr>
            <sz val="9"/>
            <color indexed="81"/>
            <rFont val="Tahoma"/>
            <charset val="1"/>
          </rPr>
          <t xml:space="preserve">
There are four damage fnxs from Hazus for two-story houses elevated on piers. NACCS does not provide a damage function for two-story on piers, only one story. We use the NACCS fxns for building categories they have because they are newer.
So we selected the Hazus damange fxn for two story on piers by comparing to the NACCS fxn for one story. It should generaly be lower</t>
        </r>
      </text>
    </comment>
  </commentList>
</comments>
</file>

<file path=xl/comments7.xml><?xml version="1.0" encoding="utf-8"?>
<comments xmlns="http://schemas.openxmlformats.org/spreadsheetml/2006/main">
  <authors>
    <author>Mark Lorie</author>
  </authors>
  <commentList>
    <comment ref="C10" authorId="0" shapeId="0">
      <text>
        <r>
          <rPr>
            <b/>
            <sz val="9"/>
            <color indexed="81"/>
            <rFont val="Tahoma"/>
            <family val="2"/>
          </rPr>
          <t>Mark Lorie:</t>
        </r>
        <r>
          <rPr>
            <sz val="9"/>
            <color indexed="81"/>
            <rFont val="Tahoma"/>
            <family val="2"/>
          </rPr>
          <t xml:space="preserve">
Total number of buildings exposed by project and site for 2 year event</t>
        </r>
      </text>
    </comment>
    <comment ref="D10" authorId="0" shapeId="0">
      <text>
        <r>
          <rPr>
            <b/>
            <sz val="9"/>
            <color indexed="81"/>
            <rFont val="Tahoma"/>
            <family val="2"/>
          </rPr>
          <t>Mark Lorie:</t>
        </r>
        <r>
          <rPr>
            <sz val="9"/>
            <color indexed="81"/>
            <rFont val="Tahoma"/>
            <family val="2"/>
          </rPr>
          <t xml:space="preserve">
Total number of buildings
 exposed by project and site for 20 year event</t>
        </r>
      </text>
    </comment>
    <comment ref="E10" authorId="0" shapeId="0">
      <text>
        <r>
          <rPr>
            <b/>
            <sz val="9"/>
            <color indexed="81"/>
            <rFont val="Tahoma"/>
            <family val="2"/>
          </rPr>
          <t>Mark Lorie:</t>
        </r>
        <r>
          <rPr>
            <sz val="9"/>
            <color indexed="81"/>
            <rFont val="Tahoma"/>
            <family val="2"/>
          </rPr>
          <t xml:space="preserve">
Total number of buildings exposed by project and site for 100 year event</t>
        </r>
      </text>
    </comment>
    <comment ref="L10" authorId="0" shapeId="0">
      <text>
        <r>
          <rPr>
            <b/>
            <sz val="9"/>
            <color indexed="81"/>
            <rFont val="Tahoma"/>
            <family val="2"/>
          </rPr>
          <t>Mark Lorie:</t>
        </r>
        <r>
          <rPr>
            <sz val="9"/>
            <color indexed="81"/>
            <rFont val="Tahoma"/>
            <family val="2"/>
          </rPr>
          <t xml:space="preserve">
Total number of buildings exposed by project and site for 2 year event</t>
        </r>
      </text>
    </comment>
    <comment ref="M10" authorId="0" shapeId="0">
      <text>
        <r>
          <rPr>
            <b/>
            <sz val="9"/>
            <color indexed="81"/>
            <rFont val="Tahoma"/>
            <family val="2"/>
          </rPr>
          <t>Mark Lorie:</t>
        </r>
        <r>
          <rPr>
            <sz val="9"/>
            <color indexed="81"/>
            <rFont val="Tahoma"/>
            <family val="2"/>
          </rPr>
          <t xml:space="preserve">
Total number of buildings
 exposed by project and site for 20 year event</t>
        </r>
      </text>
    </comment>
    <comment ref="N10" authorId="0" shapeId="0">
      <text>
        <r>
          <rPr>
            <b/>
            <sz val="9"/>
            <color indexed="81"/>
            <rFont val="Tahoma"/>
            <family val="2"/>
          </rPr>
          <t>Mark Lorie:</t>
        </r>
        <r>
          <rPr>
            <sz val="9"/>
            <color indexed="81"/>
            <rFont val="Tahoma"/>
            <family val="2"/>
          </rPr>
          <t xml:space="preserve">
Total number of buildings exposed by project and site for 100 year event</t>
        </r>
      </text>
    </comment>
  </commentList>
</comments>
</file>

<file path=xl/comments8.xml><?xml version="1.0" encoding="utf-8"?>
<comments xmlns="http://schemas.openxmlformats.org/spreadsheetml/2006/main">
  <authors>
    <author>Mark Lorie</author>
  </authors>
  <commentList>
    <comment ref="I2" authorId="0" shapeId="0">
      <text>
        <r>
          <rPr>
            <b/>
            <sz val="9"/>
            <color indexed="81"/>
            <rFont val="Tahoma"/>
            <family val="2"/>
          </rPr>
          <t>Mark Lorie:</t>
        </r>
        <r>
          <rPr>
            <sz val="9"/>
            <color indexed="81"/>
            <rFont val="Tahoma"/>
            <family val="2"/>
          </rPr>
          <t xml:space="preserve">
Based on Fisher index of consturction costs for single family homes, from Census; https://www.census.gov/construction/cpi/
For 2020, we averaged available indices for Jan - Apr.
File: "H:\ERD\NFWF3_SandyMonitor\Socio_Econ_Data\Flood_damage\price_uc_cust_CMD.xls"
</t>
        </r>
      </text>
    </comment>
  </commentList>
</comments>
</file>

<file path=xl/sharedStrings.xml><?xml version="1.0" encoding="utf-8"?>
<sst xmlns="http://schemas.openxmlformats.org/spreadsheetml/2006/main" count="1372" uniqueCount="434">
  <si>
    <t>RES1</t>
  </si>
  <si>
    <t>HAZUS Class</t>
  </si>
  <si>
    <t>Stories</t>
  </si>
  <si>
    <t>Basement</t>
  </si>
  <si>
    <t>Foundation</t>
  </si>
  <si>
    <t>Slab</t>
  </si>
  <si>
    <t>Depths, relative to FFE, feet</t>
  </si>
  <si>
    <t>RES3</t>
  </si>
  <si>
    <t>GOV1</t>
  </si>
  <si>
    <t>na</t>
  </si>
  <si>
    <t>Source</t>
  </si>
  <si>
    <t>NACCS</t>
  </si>
  <si>
    <t>NACCs</t>
  </si>
  <si>
    <t>HAZUS</t>
  </si>
  <si>
    <t>Value Source</t>
  </si>
  <si>
    <t>Parcel_ID</t>
  </si>
  <si>
    <t>Assess_Value</t>
  </si>
  <si>
    <t>Replace_Value</t>
  </si>
  <si>
    <t>Dollar_Year</t>
  </si>
  <si>
    <t>Year</t>
  </si>
  <si>
    <t>Type</t>
  </si>
  <si>
    <t>Recreational</t>
  </si>
  <si>
    <t>Sq_Ft</t>
  </si>
  <si>
    <t>Population Multiplier</t>
  </si>
  <si>
    <t>Link</t>
  </si>
  <si>
    <t>Address</t>
  </si>
  <si>
    <t>Sussex County Assessor's Office</t>
  </si>
  <si>
    <t>230-16.00-7.04</t>
  </si>
  <si>
    <t>No</t>
  </si>
  <si>
    <t>https://property.sussexcountyde.gov/idoc_documents/230-16.00-7.04.pdf</t>
  </si>
  <si>
    <t>This garage is associated with object with the same parcel ID</t>
  </si>
  <si>
    <t>9117 CODS RD MILFORD DE 19963</t>
  </si>
  <si>
    <t>235-8.00-74.00</t>
  </si>
  <si>
    <t>Yes</t>
  </si>
  <si>
    <t>No assessment value available from County. Looks to be a visitor center.</t>
  </si>
  <si>
    <t xml:space="preserve">No assessment value available from County. Looks to be a trailer office next to the visitor's center. </t>
  </si>
  <si>
    <t>Meter</t>
  </si>
  <si>
    <t>Feet</t>
  </si>
  <si>
    <t>Unit conversions and other constants and inputs</t>
  </si>
  <si>
    <t>Fxn #</t>
  </si>
  <si>
    <t>PreExpDepth</t>
  </si>
  <si>
    <t>DDF.Position</t>
  </si>
  <si>
    <t>Slope</t>
  </si>
  <si>
    <t>DDF.Depth1</t>
  </si>
  <si>
    <t>DDF.Depth2</t>
  </si>
  <si>
    <t>DDF.Pct1</t>
  </si>
  <si>
    <t>DDF.Pct2</t>
  </si>
  <si>
    <t>Pct.Damage</t>
  </si>
  <si>
    <t>$damage</t>
  </si>
  <si>
    <t>Post-Project damage calculation</t>
  </si>
  <si>
    <t>PostExpDepth</t>
  </si>
  <si>
    <t>Construction Cost Inflation</t>
  </si>
  <si>
    <t>2020 Multiplier</t>
  </si>
  <si>
    <t>2020$</t>
  </si>
  <si>
    <t xml:space="preserve">2-year </t>
  </si>
  <si>
    <t>20-year</t>
  </si>
  <si>
    <t>100-year</t>
  </si>
  <si>
    <t>Preproject</t>
  </si>
  <si>
    <t>Post-Project</t>
  </si>
  <si>
    <t>EAD</t>
  </si>
  <si>
    <t>a</t>
  </si>
  <si>
    <t>b</t>
  </si>
  <si>
    <t>c</t>
  </si>
  <si>
    <t>d</t>
  </si>
  <si>
    <t>e</t>
  </si>
  <si>
    <t>total</t>
  </si>
  <si>
    <t>Pre-Project EAD</t>
  </si>
  <si>
    <t>Post-Project EAD</t>
  </si>
  <si>
    <r>
      <t xml:space="preserve">Mapping of EAD rectangles and triangle areas for reference </t>
    </r>
    <r>
      <rPr>
        <b/>
        <i/>
        <u/>
        <sz val="11"/>
        <color theme="1"/>
        <rFont val="Calibri"/>
        <family val="2"/>
        <scheme val="minor"/>
      </rPr>
      <t>(polygon areas not to scale)</t>
    </r>
  </si>
  <si>
    <t>Scenario (year: 2-year, 20-year, 100-year)</t>
  </si>
  <si>
    <t>Project ID</t>
  </si>
  <si>
    <t>Site ID</t>
  </si>
  <si>
    <t>Empty, Hold for future use</t>
  </si>
  <si>
    <t>Building Footprint Area (sq m)</t>
  </si>
  <si>
    <t>PreDepthMx (m)</t>
  </si>
  <si>
    <t>PostDepthMx (m)</t>
  </si>
  <si>
    <t>DepthDiff (m)</t>
  </si>
  <si>
    <t>FFE 
(feet)</t>
  </si>
  <si>
    <t>GIS_Notes</t>
  </si>
  <si>
    <t>PreDepthMx (ft)</t>
  </si>
  <si>
    <t>PostDepthMx (ft)</t>
  </si>
  <si>
    <t>DepthDiff (ft)</t>
  </si>
  <si>
    <t>Building Footprint Area (sq ft)</t>
  </si>
  <si>
    <t>Final FFE (overwrite  county average if Foundation is Elevated)(feet)</t>
  </si>
  <si>
    <t>Building Attribute_Notes</t>
  </si>
  <si>
    <t>&lt;------          THIS ALL COMES FROM THE MASTER PRE-METRIC WORKBOOK, PASTED INTO THE 'INPUTS' WORKSHEET, AND READ TO THIS WORKSHEET                        /                             THIS ALL COMES FROM THE MASTER PRE-METRIC WORKBOOK, PASTED INTO THE 'INPUTS' WORKSHEET, AND READ TO THIS WORKSHEET  ----&gt;</t>
  </si>
  <si>
    <t>note: placeholder data from 7/24, update later</t>
  </si>
  <si>
    <t>Pre-Project Damage Calculation</t>
  </si>
  <si>
    <t>Depth Damage Function</t>
  </si>
  <si>
    <t>Function ID</t>
  </si>
  <si>
    <t>Select DDF</t>
  </si>
  <si>
    <t>DDF ID</t>
  </si>
  <si>
    <t>RES2</t>
  </si>
  <si>
    <t>2-year $</t>
  </si>
  <si>
    <t>20-year $</t>
  </si>
  <si>
    <t>100-year $</t>
  </si>
  <si>
    <t>EADa</t>
  </si>
  <si>
    <t>EADb</t>
  </si>
  <si>
    <t>EADc</t>
  </si>
  <si>
    <t>EADd</t>
  </si>
  <si>
    <t>EADe</t>
  </si>
  <si>
    <t>Pre-Project EAD estimates</t>
  </si>
  <si>
    <t>EAD-total</t>
  </si>
  <si>
    <t>Post-Project EAD estimates</t>
  </si>
  <si>
    <t>Calculating area under EAD curve one section at a time</t>
  </si>
  <si>
    <t>Building Type</t>
  </si>
  <si>
    <t>Res</t>
  </si>
  <si>
    <t>Com</t>
  </si>
  <si>
    <t>Pub</t>
  </si>
  <si>
    <t>RES3A</t>
  </si>
  <si>
    <t>RES3B</t>
  </si>
  <si>
    <t>RES3C</t>
  </si>
  <si>
    <t>RES3D</t>
  </si>
  <si>
    <t>RES3E</t>
  </si>
  <si>
    <t>RES3F</t>
  </si>
  <si>
    <t>RES4</t>
  </si>
  <si>
    <t>RES5</t>
  </si>
  <si>
    <t>RES6</t>
  </si>
  <si>
    <t>COM1</t>
  </si>
  <si>
    <t>COM2</t>
  </si>
  <si>
    <t>COM3</t>
  </si>
  <si>
    <t>COM4</t>
  </si>
  <si>
    <t>COM5</t>
  </si>
  <si>
    <t>COM6</t>
  </si>
  <si>
    <t>COM7</t>
  </si>
  <si>
    <t>COM8</t>
  </si>
  <si>
    <t>COM9</t>
  </si>
  <si>
    <t>COM10</t>
  </si>
  <si>
    <t>IND1</t>
  </si>
  <si>
    <t>IND2</t>
  </si>
  <si>
    <t>IND3</t>
  </si>
  <si>
    <t>IND4</t>
  </si>
  <si>
    <t>IND5</t>
  </si>
  <si>
    <t>IND6</t>
  </si>
  <si>
    <t>AGR1</t>
  </si>
  <si>
    <t>REL1</t>
  </si>
  <si>
    <t>GOV2</t>
  </si>
  <si>
    <t>EDU1</t>
  </si>
  <si>
    <t>EDU2</t>
  </si>
  <si>
    <t>DE_USFWS_15_0001</t>
  </si>
  <si>
    <t>C</t>
  </si>
  <si>
    <t>DE_USFWS_15_0004</t>
  </si>
  <si>
    <t>DE_USFWS_15_0002</t>
  </si>
  <si>
    <t xml:space="preserve">
11978 Turkle Pond Rd, Milton, DE 19968</t>
  </si>
  <si>
    <t>DE_USFWS_15_0003</t>
  </si>
  <si>
    <t>NY_NPS_1A_0036</t>
  </si>
  <si>
    <t>remove - nothing there</t>
  </si>
  <si>
    <t>16325; 1</t>
  </si>
  <si>
    <t>building not on tax map or on google earth</t>
  </si>
  <si>
    <t>Jacob Riis Beach</t>
  </si>
  <si>
    <t>NY_NPS_1A_0037</t>
  </si>
  <si>
    <t>16325; 200</t>
  </si>
  <si>
    <t>NY_NPS_1A_0038</t>
  </si>
  <si>
    <t>https://riisparkbeachbazaar.com/</t>
  </si>
  <si>
    <t>Two Dude's Takeout</t>
  </si>
  <si>
    <t>NY_NPS_1A_0016</t>
  </si>
  <si>
    <t>16330; 60</t>
  </si>
  <si>
    <t>https://www.esf.edu/cclp/documents/GATE_CLR_Fort_Tilden_062013.pdf</t>
  </si>
  <si>
    <t>potentially private residence on Fort Tilden (Building T-25)/Senior citizens center/renovated in 1980s</t>
  </si>
  <si>
    <t>Fort Tilden</t>
  </si>
  <si>
    <t>NY_NPS_1A_0017</t>
  </si>
  <si>
    <t>brick storage shed with corrugated metal pull down doors; entrance to parking lot</t>
  </si>
  <si>
    <t>NY_NPS_1A_0018</t>
  </si>
  <si>
    <t>Jacob Riis Bathhouse; renovation only partially complete; historic value; may be vendors there</t>
  </si>
  <si>
    <t>NY_NPS_1A_0019</t>
  </si>
  <si>
    <t>NY_NPS_1A_0020</t>
  </si>
  <si>
    <t>16325; 227</t>
  </si>
  <si>
    <t>https://en.wikipedia.org/wiki/Neponsit_Beach_Hospital</t>
  </si>
  <si>
    <t>NEW YORK CITY HEALTH AND HOSPITALS CORPORATION; adjacent to Jacob Riis Beach</t>
  </si>
  <si>
    <t>NY_NPS_1A_0021</t>
  </si>
  <si>
    <t>New York, Low Estimate: https://ccorpinsights.com/costs-per-square-foot/</t>
  </si>
  <si>
    <t>potentially private residence on Fort Tilden (Building 23) Residence</t>
  </si>
  <si>
    <t>NY_NPS_1A_0023</t>
  </si>
  <si>
    <t>NY_NPS_1A_0026</t>
  </si>
  <si>
    <t>https://camprockaway.com/</t>
  </si>
  <si>
    <t>Camp Rockaway (vendor at Jacob Riis)</t>
  </si>
  <si>
    <t>NY_NPS_1A_0027</t>
  </si>
  <si>
    <t>Zillow</t>
  </si>
  <si>
    <t>16323; 20</t>
  </si>
  <si>
    <t>https://www.zillow.com/homedetails/159-Beach-149th-St-Far-Rockaway-NY-11694/32228993_zpid/</t>
  </si>
  <si>
    <t>main structure</t>
  </si>
  <si>
    <t>159 BEACH 149 STREET NEPONSIT NY</t>
  </si>
  <si>
    <t>NY_NPS_1A_0028</t>
  </si>
  <si>
    <t>https://www.esf.edu/cclp/documents/GATE_CLR_Fort_Tilden_062013.pdf; https://www.nps.gov/parkhistory/online_books/gate/tilden_hsr.pdf</t>
  </si>
  <si>
    <t>potentially private residence on Fort Tilden (Building 22) Residence. No. 22 is a two-story Colonial Revival-style brick building with a onestory attached garage and a two-story sleeping porch</t>
  </si>
  <si>
    <t>NY_NPS_1A_0030</t>
  </si>
  <si>
    <t>NY_NPS_1A_0032</t>
  </si>
  <si>
    <t>remove</t>
  </si>
  <si>
    <t>picnic shelter</t>
  </si>
  <si>
    <t>NY_NPS_1A_0033</t>
  </si>
  <si>
    <t>16325; 100</t>
  </si>
  <si>
    <t>container/shed next to firestation</t>
  </si>
  <si>
    <t>NY_NPS_1A_0034</t>
  </si>
  <si>
    <t>NJ_NFWF_43986_1_0001</t>
  </si>
  <si>
    <t>51; 4</t>
  </si>
  <si>
    <t>https://www.zillow.com/homedetails/28-Ocean-Ave-Monmouth-Beach-NJ-07750/39341993_zpid/</t>
  </si>
  <si>
    <t>may be a second home? Garage on first floor with some living space</t>
  </si>
  <si>
    <t>28 Ocean Ave Monmoth Beach NJ</t>
  </si>
  <si>
    <t>NJ_NFWF_43986_1_0002</t>
  </si>
  <si>
    <t>https://www.zillow.com/homedetails/26-Ocean-Ave-Monmouth-Beach-NJ-07750/39341994_zpid/</t>
  </si>
  <si>
    <t>may be a second home? Detached garage not in ZOI</t>
  </si>
  <si>
    <t>26 Ocean Ave Monmoth Beach NJ</t>
  </si>
  <si>
    <t>NJ_NFWF_43986_1_0003</t>
  </si>
  <si>
    <t>Piers</t>
  </si>
  <si>
    <t>https://www.zillow.com/homedetails/24-Ocean-Ave-Monmouth-Beach-NJ-07750/39341995_zpid/</t>
  </si>
  <si>
    <t>24 Ocean Ave Monmoth Beach NJ</t>
  </si>
  <si>
    <t>NJ_NFWF_43986_1_0004</t>
  </si>
  <si>
    <t>R</t>
  </si>
  <si>
    <t>County Property Assessor</t>
  </si>
  <si>
    <t>50; 3.01</t>
  </si>
  <si>
    <t>http://tax1.co.monmouth.nj.us/cgi-bin/m4.cgi?district=1334&amp;l02=133400050____00003__01_____M</t>
  </si>
  <si>
    <t>Monmoth Beach Bathing Pavilion; current structure from 1962 with major renovations in 2007 and 2012</t>
  </si>
  <si>
    <t>29 Ocean Avenue Monmoth Beach NJ</t>
  </si>
  <si>
    <t>NJ_NFWF_43986_1_0005</t>
  </si>
  <si>
    <t>51; 1</t>
  </si>
  <si>
    <t>https://www.zillow.com/homedetails/30-Ocean-Ave-Monmouth-Beach-NJ-07750/39341990_zpid/</t>
  </si>
  <si>
    <t>may be a second home? I think it's been renovated since 1905 (probably in 2003 when it last sold); detached garage not in ZOI</t>
  </si>
  <si>
    <t>30 Ocean Ave Monmoth Beach NJ</t>
  </si>
  <si>
    <t>HAZUS, Galv., Avg Retail</t>
  </si>
  <si>
    <t>HAZUS, Galv., Avg Wholesale</t>
  </si>
  <si>
    <t>HAZUS, Galv., Avg Personal &amp; Repair Services</t>
  </si>
  <si>
    <t>HAZUS, Galv., Avg Prof/Tech Serv.</t>
  </si>
  <si>
    <t>HAZUS, Galv., Bank</t>
  </si>
  <si>
    <t>HAZUS, Galv., Avg Entertain/Rec</t>
  </si>
  <si>
    <t>HAZUS, Galv., Avg Theater</t>
  </si>
  <si>
    <t>HAZUS, Galv., Avg Med. Office</t>
  </si>
  <si>
    <t>HAZUS, Galv., Hospital</t>
  </si>
  <si>
    <t>HAZUS, Galv., Garage</t>
  </si>
  <si>
    <t>HAZUS, Galv., Avg Emerg. Response</t>
  </si>
  <si>
    <t>HAZUS, Galv., Avg Heavy Industry</t>
  </si>
  <si>
    <t>HAZUS, Galv., Avg Light Industry</t>
  </si>
  <si>
    <t>HAZUS, Galv., Avg Food/Drug/Chem</t>
  </si>
  <si>
    <t>HAZUS, Galv., Avg Metals/Minerals</t>
  </si>
  <si>
    <t>HAZUS, Galv., Avg High Tech</t>
  </si>
  <si>
    <t>HAZUS, Galv., Construction</t>
  </si>
  <si>
    <t>HAZUS, Galv., Avg School</t>
  </si>
  <si>
    <t>HAZUS, Galv., Avg College/Univ.</t>
  </si>
  <si>
    <t>Average of all, 0 below 0 depth, apply when buidling characteristics are unknown</t>
  </si>
  <si>
    <t>UNK</t>
  </si>
  <si>
    <t>Unknown</t>
  </si>
  <si>
    <t>HAZUS FIA</t>
  </si>
  <si>
    <t>RES1.1.Piers</t>
  </si>
  <si>
    <t>project</t>
  </si>
  <si>
    <t>Pre-Project Road Exposure</t>
  </si>
  <si>
    <t>Post-Project Road Exposure</t>
  </si>
  <si>
    <t>2-year</t>
  </si>
  <si>
    <t>Expected Annual, Pre-Project (km)</t>
  </si>
  <si>
    <t>Expected Annual, Post-Project (km)</t>
  </si>
  <si>
    <t>Base Flood Elevation (BFE)  (feet)</t>
  </si>
  <si>
    <t>RSMeans - median garage (46)</t>
  </si>
  <si>
    <t>average additional garage cost per residence</t>
  </si>
  <si>
    <t>RSMeans - median recreational (287)</t>
  </si>
  <si>
    <t>based on small townhall</t>
  </si>
  <si>
    <t>RS Means - median office building (195)</t>
  </si>
  <si>
    <t>dugout for baseball diamond</t>
  </si>
  <si>
    <t>RS Means - median restaurant (335)</t>
  </si>
  <si>
    <t>Based on restuarant</t>
  </si>
  <si>
    <t>RS Means - median gymnasium (199)</t>
  </si>
  <si>
    <t>RS Means - median warehouse (123)</t>
  </si>
  <si>
    <t>RS Means - median mixed use (212)</t>
  </si>
  <si>
    <t>remove - abandoned</t>
  </si>
  <si>
    <t>abandoned/unused hospital; assumed to have no economic impact and no loss from storm damage</t>
  </si>
  <si>
    <t>NJ_NFWF_43429_2_0001</t>
  </si>
  <si>
    <t>0604; 59; 49</t>
  </si>
  <si>
    <t>http://tax1.co.monmouth.nj.us/cgi-bin/m4.cgi?district=0604&amp;l02=060400059____00049_________M</t>
  </si>
  <si>
    <t>probably a second home</t>
  </si>
  <si>
    <t>170 Dyers Creek Rd Newport, NJ 08345</t>
  </si>
  <si>
    <t>NY_NFWF_44225_2_0001</t>
  </si>
  <si>
    <t>https://jeremynative.com/onthissite/</t>
  </si>
  <si>
    <t>Shinnecock Reservation - no property information available; Assumed residential because not identified as otherwise on reservation run map</t>
  </si>
  <si>
    <t>NY_NFWF_44225_2_0002</t>
  </si>
  <si>
    <t>NY_NFWF_44225_2_0003</t>
  </si>
  <si>
    <t xml:space="preserve">Located in Floodplain (R = In 100-Year Riverine Floodplain; C = In 100-Year Coastal Floodplain; and NO = Not in 100-Year Floodplain) </t>
  </si>
  <si>
    <t>CHANGE IN EAD</t>
  </si>
  <si>
    <t>EAD-total, Pre-Project</t>
  </si>
  <si>
    <t>EAD-total, Post-Project</t>
  </si>
  <si>
    <t>MA_NFWF_43322_3_0002</t>
  </si>
  <si>
    <t>Town Assessor</t>
  </si>
  <si>
    <t>4-61</t>
  </si>
  <si>
    <t>https://www.axisgis.com/AquinnahMA/Docs/Batch/Vision%20Property%20Card/Vision%20ID_%20783.pdf</t>
  </si>
  <si>
    <t>second home - should we make the population multiplier 0?</t>
  </si>
  <si>
    <t>23 Lobsterville Road Aquinnah, MA 02535</t>
  </si>
  <si>
    <t>MA_NFWF_43322_3_0003</t>
  </si>
  <si>
    <t xml:space="preserve"> 4-108</t>
  </si>
  <si>
    <t>https://www.axisgis.com/AquinnahMA/Docs/Batch/Vision%20Property%20Card/Vision%20ID_%20844.pdf</t>
  </si>
  <si>
    <t>summer rental/guest house - should we make the population multiplier 0?</t>
  </si>
  <si>
    <t>17 Lobsterville Road Aquinnah, MA 02535</t>
  </si>
  <si>
    <t>MA_NFWF_43322_3_0005</t>
  </si>
  <si>
    <t>year round home/second home - should we make the population multiplier 0?</t>
  </si>
  <si>
    <t xml:space="preserve">Calculating area under EA curve one section at a time </t>
  </si>
  <si>
    <t>NFWF-41739</t>
  </si>
  <si>
    <t>NFWF-41766</t>
  </si>
  <si>
    <t>NFWF-41795</t>
  </si>
  <si>
    <t>NFWF-41991</t>
  </si>
  <si>
    <t>NFWF-42279</t>
  </si>
  <si>
    <t>NFWF-42442</t>
  </si>
  <si>
    <t>NFWF-42958</t>
  </si>
  <si>
    <t>NFWF-42959</t>
  </si>
  <si>
    <t>NFWF-43006</t>
  </si>
  <si>
    <t>NFWF-43095</t>
  </si>
  <si>
    <t>NFWF-43281</t>
  </si>
  <si>
    <t>NFWF-43322</t>
  </si>
  <si>
    <t>NFWF-43429</t>
  </si>
  <si>
    <t>NFWF-43986</t>
  </si>
  <si>
    <t>NFWF-44109</t>
  </si>
  <si>
    <t>NFWF-44157</t>
  </si>
  <si>
    <t>NFWF-44167</t>
  </si>
  <si>
    <t>NFWF-44225</t>
  </si>
  <si>
    <t>NPS-1A</t>
  </si>
  <si>
    <t>USFWS-01</t>
  </si>
  <si>
    <t>USFWS-06</t>
  </si>
  <si>
    <t>USFWS-09</t>
  </si>
  <si>
    <t>USFWS-15</t>
  </si>
  <si>
    <t>USFWS-21</t>
  </si>
  <si>
    <t>USFWS-31</t>
  </si>
  <si>
    <t>USFWS-33</t>
  </si>
  <si>
    <t>USFWS-37</t>
  </si>
  <si>
    <t>USFWS-43</t>
  </si>
  <si>
    <t>USFWS-50</t>
  </si>
  <si>
    <t>USFWS-51</t>
  </si>
  <si>
    <t>USFWS-53</t>
  </si>
  <si>
    <t>USFWS-57</t>
  </si>
  <si>
    <t>USFWS-65</t>
  </si>
  <si>
    <t>USFWS-76</t>
  </si>
  <si>
    <t>USFWS-77</t>
  </si>
  <si>
    <t>USFWS-89</t>
  </si>
  <si>
    <t>USFWS-94</t>
  </si>
  <si>
    <t>Metric: People Exposed to Flooding</t>
  </si>
  <si>
    <t>Metric: People Exposed to Nuisance Flooding</t>
  </si>
  <si>
    <t>Metric: People exposed to water-borne pollutants from a flooding</t>
  </si>
  <si>
    <t>Metric: People exposed to water-borne pollutants from nuisance flooding</t>
  </si>
  <si>
    <t>Metric: Properties exposed to flooding</t>
  </si>
  <si>
    <t>Metric: Properties exposed to nuisance flooding</t>
  </si>
  <si>
    <t>Pre</t>
  </si>
  <si>
    <t>Post</t>
  </si>
  <si>
    <t>Metric: Economic losses from commercial properties affected by nuisance flooding</t>
  </si>
  <si>
    <t xml:space="preserve">Metric: Expected Annual Damages to properties  </t>
  </si>
  <si>
    <t xml:space="preserve">Metric: Value of properties (residential and commercial) exposed to nuisance flooding </t>
  </si>
  <si>
    <t xml:space="preserve">Metric: Miles of Transportation Infrastructure Exposed to flooding </t>
  </si>
  <si>
    <t xml:space="preserve">Metric: Miles of transportation infrastructure exposed to nuisance flooding </t>
  </si>
  <si>
    <t>Delta</t>
  </si>
  <si>
    <t>Transportation infrastructure exposed to flood event</t>
  </si>
  <si>
    <t>Expected annual damages from flood event</t>
  </si>
  <si>
    <t>Number of bulldings epxosed to a flood event</t>
  </si>
  <si>
    <t>MD_NFWF_44167_1_0001</t>
  </si>
  <si>
    <t>03-049809</t>
  </si>
  <si>
    <t>https://sdat.dat.maryland.gov/RealProperty/Pages/default.aspx</t>
  </si>
  <si>
    <t>Calvert County</t>
  </si>
  <si>
    <t>9333 Bay Ave North Beach MD 20714</t>
  </si>
  <si>
    <t>MD_NFWF_44167_1_0002</t>
  </si>
  <si>
    <t>08-579-01767101</t>
  </si>
  <si>
    <t>Suspect this is a garage. Anne Arundle</t>
  </si>
  <si>
    <t>1107 Bay Front Ave North Beach MD 20714</t>
  </si>
  <si>
    <t>MD_NFWF_44167_1_0003</t>
  </si>
  <si>
    <t>08-579-01868300</t>
  </si>
  <si>
    <t>Anne Arundle</t>
  </si>
  <si>
    <t>805 Beach Ave North Beach MD 20714</t>
  </si>
  <si>
    <t>MD_NFWF_44167_1_0004</t>
  </si>
  <si>
    <t>03-055566</t>
  </si>
  <si>
    <t>house above garage; actually two properties; Calvert County</t>
  </si>
  <si>
    <t>9317 Bay Ave North Beach MD 20714</t>
  </si>
  <si>
    <t>03-052877</t>
  </si>
  <si>
    <t>9315 Bay Ave North Beach MD 20714</t>
  </si>
  <si>
    <t>MD_NFWF_44167_1_0005</t>
  </si>
  <si>
    <t>03-053474</t>
  </si>
  <si>
    <t>9313 Bay Ave North Beach MD 20714</t>
  </si>
  <si>
    <t>03-053172</t>
  </si>
  <si>
    <t>9311 Bay Ave North Beach MD 20714</t>
  </si>
  <si>
    <t>HAZUS, New Orleans</t>
  </si>
  <si>
    <t>Sites</t>
  </si>
  <si>
    <t>Number of critical facilities epxosed to a flood event</t>
  </si>
  <si>
    <t>Metric: Number of critical facilities exposed to flooding</t>
  </si>
  <si>
    <t>NJ_NFWF_44109_1_0001</t>
  </si>
  <si>
    <t>County Tax Assessor</t>
  </si>
  <si>
    <t>326.204; 42</t>
  </si>
  <si>
    <t>added single garage value</t>
  </si>
  <si>
    <t>http://www.tax.co.ocean.nj.us/frmTaxBoardTaxListDetail?ID=99514</t>
  </si>
  <si>
    <t>garage and some finished space under the piers</t>
  </si>
  <si>
    <t>28 Iowa Ct Little Egg Harbor Township, New Jersey</t>
  </si>
  <si>
    <t>NJ_NFWF_44109_1_0002</t>
  </si>
  <si>
    <t>326.204; 40</t>
  </si>
  <si>
    <t>http://www.tax.co.ocean.nj.us/frmTaxBoardTaxListDetail?ID=99512</t>
  </si>
  <si>
    <t>split level; attached one car garage; looks condemned in most recent google earth pic</t>
  </si>
  <si>
    <t>24 Iowa Ct Little Egg Harbor Township, New Jersey</t>
  </si>
  <si>
    <t>NJ_NFWF_44109_1_0003</t>
  </si>
  <si>
    <t>added two garage value</t>
  </si>
  <si>
    <t>http://www.tax.co.ocean.nj.us/frmTaxBoardTaxListDetail?ID=99520</t>
  </si>
  <si>
    <t>Split level with two car garage attached</t>
  </si>
  <si>
    <t>40 Iowa Ct Little Egg Harbor Township, New Jersey</t>
  </si>
  <si>
    <t>NJ_NFWF_44109_1_0004</t>
  </si>
  <si>
    <t>326.204; 43</t>
  </si>
  <si>
    <t>http://www.tax.co.ocean.nj.us/frmTaxBoardTaxListDetail?ID=99515</t>
  </si>
  <si>
    <t>two car garage under the piers</t>
  </si>
  <si>
    <t>30 Iowa Ct Little Egg Harbor Township, New Jersey</t>
  </si>
  <si>
    <t>NJ_NFWF_44109_1_0005</t>
  </si>
  <si>
    <t>326.204; 44</t>
  </si>
  <si>
    <t>http://www.tax.co.ocean.nj.us/frmTaxBoardTaxListDetail?ID=99516</t>
  </si>
  <si>
    <t>Significant damage in most recent google earth image; sold as an empty lot; county assessor office indicates a building was built in 2019 but no building data is available. Other county data doesn't seem to be updated yet. Assume 2 stories and piers based on other new building in the area</t>
  </si>
  <si>
    <t>32 Iowa Ct Little Egg Harbor Township, New Jersey</t>
  </si>
  <si>
    <t>NJ_NFWF_44109_1_0006</t>
  </si>
  <si>
    <t>326.204; 46</t>
  </si>
  <si>
    <t>http://www.tax.co.ocean.nj.us/frmTaxBoardTaxListDetail?ID=99518</t>
  </si>
  <si>
    <t>36 Iowa Ct Little Egg Harbor Township, New Jersey</t>
  </si>
  <si>
    <t>NJ_NFWF_44109_1_0007</t>
  </si>
  <si>
    <t>326.204; 41</t>
  </si>
  <si>
    <t>http://www.tax.co.ocean.nj.us/frmTaxBoardTaxListDetail?ID=99513</t>
  </si>
  <si>
    <t>vacant property</t>
  </si>
  <si>
    <t>26 Iowa Ct Little Egg Harbor Township, New Jersey</t>
  </si>
  <si>
    <t>NJ_NFWF_44109_1_0008</t>
  </si>
  <si>
    <t>http://www.tax.co.ocean.nj.us/frmTaxBoardTaxListDetail?ID=99519</t>
  </si>
  <si>
    <t>attached one car garage</t>
  </si>
  <si>
    <t>38 Iowa Ct Little Egg Harbor Township, New Jersey</t>
  </si>
  <si>
    <t>NJ_NFWF_44109_1_0009</t>
  </si>
  <si>
    <t>326.204; 45</t>
  </si>
  <si>
    <t>http://www.tax.co.ocean.nj.us/frmTaxBoardTaxListDetail?ID=99517</t>
  </si>
  <si>
    <t>Empty lot in most recent google earth image street view but home shows up in zillow listing for property next door: https://www.zillow.com/homedetails/32-Iowa-Ct-Little-Egg-Harbor-Twp-NJ-08087/39654908_zpid/?</t>
  </si>
  <si>
    <t>34 Iowa Ct Little Egg Harbor Township, New Jersey</t>
  </si>
  <si>
    <t>DE_NFWF_43281_1_0001</t>
  </si>
  <si>
    <t>330-5.00-9.00</t>
  </si>
  <si>
    <t>https://property.sussexcountyde.gov/PT/datalets/datalet.aspx?mode=profileall&amp;sIndex=0&amp;idx=1&amp;LMparent=20</t>
  </si>
  <si>
    <t>Dupont nature center</t>
  </si>
  <si>
    <t>2992 Lighthouse Rd, Milford, DE 19963</t>
  </si>
  <si>
    <t>DE_NFWF_43281_1_0002</t>
  </si>
  <si>
    <t>330-5.00-7.04</t>
  </si>
  <si>
    <t>Based on warehouse (might be missing refridgeration costs)</t>
  </si>
  <si>
    <t>That's right fresh seafood (wholesaler)</t>
  </si>
  <si>
    <t>3018 Lighthouse Rd, Milford, DE 19963</t>
  </si>
  <si>
    <t xml:space="preserve"> 326.204; 48</t>
  </si>
  <si>
    <t xml:space="preserve"> 326.204; 47</t>
  </si>
  <si>
    <t>UID</t>
  </si>
  <si>
    <t>Hazus Replacement Value per square foot unless noted in column AG (based on column Y)</t>
  </si>
  <si>
    <t>Hazus Replacement Dollar</t>
  </si>
  <si>
    <t>Hazus Replacement Value note</t>
  </si>
  <si>
    <t>deleted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</si>
</sst>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3" formatCode="_(* #,##0.00_);_(* \(#,##0.00\);_(* &quot;-&quot;??_);_(@_)"/>
    <numFmt numFmtId="164" formatCode="&quot;$&quot;#,##0"/>
    <numFmt numFmtId="165" formatCode="&quot;$&quot;#,##0.00"/>
    <numFmt numFmtId="166" formatCode="0.0000"/>
    <numFmt numFmtId="167" formatCode="0.000"/>
  </numFmts>
  <fonts count="17" x14ac:knownFonts="1">
    <font>
      <sz val="11"/>
      <color theme="1"/>
      <name val="Calibri"/>
      <family val="2"/>
      <scheme val="minor"/>
    </font>
    <font>
      <b/>
      <sz val="11"/>
      <color theme="1"/>
      <name val="Calibri"/>
      <family val="2"/>
      <scheme val="minor"/>
    </font>
    <font>
      <sz val="11"/>
      <name val="Calibri"/>
      <family val="2"/>
      <scheme val="minor"/>
    </font>
    <font>
      <b/>
      <sz val="11"/>
      <color theme="4" tint="-0.499984740745262"/>
      <name val="Calibri"/>
      <family val="2"/>
      <scheme val="minor"/>
    </font>
    <font>
      <sz val="9"/>
      <color indexed="81"/>
      <name val="Tahoma"/>
      <family val="2"/>
    </font>
    <font>
      <b/>
      <sz val="9"/>
      <color indexed="81"/>
      <name val="Tahoma"/>
      <family val="2"/>
    </font>
    <font>
      <u/>
      <sz val="11"/>
      <color theme="10"/>
      <name val="Calibri"/>
      <family val="2"/>
      <scheme val="minor"/>
    </font>
    <font>
      <b/>
      <u/>
      <sz val="11"/>
      <color theme="1"/>
      <name val="Calibri"/>
      <family val="2"/>
      <scheme val="minor"/>
    </font>
    <font>
      <b/>
      <i/>
      <u/>
      <sz val="11"/>
      <color theme="1"/>
      <name val="Calibri"/>
      <family val="2"/>
      <scheme val="minor"/>
    </font>
    <font>
      <b/>
      <sz val="11"/>
      <color theme="0"/>
      <name val="Calibri"/>
      <family val="2"/>
      <scheme val="minor"/>
    </font>
    <font>
      <i/>
      <sz val="11"/>
      <color theme="1"/>
      <name val="Calibri"/>
      <family val="2"/>
      <scheme val="minor"/>
    </font>
    <font>
      <b/>
      <sz val="11"/>
      <name val="Calibri"/>
      <family val="2"/>
      <scheme val="minor"/>
    </font>
    <font>
      <b/>
      <sz val="11"/>
      <color theme="8" tint="-0.499984740745262"/>
      <name val="Calibri"/>
      <family val="2"/>
      <scheme val="minor"/>
    </font>
    <font>
      <sz val="10"/>
      <name val="Arial"/>
      <family val="2"/>
    </font>
    <font>
      <sz val="9"/>
      <color indexed="81"/>
      <name val="Tahoma"/>
      <charset val="1"/>
    </font>
    <font>
      <b/>
      <sz val="9"/>
      <color indexed="81"/>
      <name val="Tahoma"/>
      <charset val="1"/>
    </font>
    <font>
      <b/>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66FF"/>
        <bgColor indexed="64"/>
      </patternFill>
    </fill>
    <fill>
      <patternFill patternType="solid">
        <fgColor rgb="FF00B0F0"/>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99FF"/>
        <bgColor indexed="64"/>
      </patternFill>
    </fill>
    <fill>
      <patternFill patternType="solid">
        <fgColor rgb="FFFFCD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top style="hair">
        <color auto="1"/>
      </top>
      <bottom/>
      <diagonal/>
    </border>
    <border>
      <left/>
      <right/>
      <top/>
      <bottom style="hair">
        <color indexed="64"/>
      </bottom>
      <diagonal/>
    </border>
    <border>
      <left/>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1" fillId="0" borderId="0" xfId="0" applyFont="1"/>
    <xf numFmtId="0" fontId="3" fillId="0" borderId="0" xfId="0" applyFont="1" applyFill="1"/>
    <xf numFmtId="0" fontId="3" fillId="0" borderId="0" xfId="0" applyFont="1"/>
    <xf numFmtId="0" fontId="0" fillId="4" borderId="1" xfId="0" applyFill="1" applyBorder="1"/>
    <xf numFmtId="0" fontId="0" fillId="5"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2" fillId="0" borderId="4" xfId="0" applyFont="1" applyFill="1" applyBorder="1" applyAlignment="1">
      <alignment horizontal="right"/>
    </xf>
    <xf numFmtId="0" fontId="0" fillId="0" borderId="5" xfId="0" applyBorder="1"/>
    <xf numFmtId="0" fontId="2" fillId="0" borderId="6" xfId="0" applyFont="1" applyFill="1" applyBorder="1" applyAlignment="1">
      <alignment horizontal="right"/>
    </xf>
    <xf numFmtId="0" fontId="0" fillId="0" borderId="7" xfId="0" applyBorder="1"/>
    <xf numFmtId="164" fontId="0" fillId="0" borderId="0" xfId="0" applyNumberFormat="1"/>
    <xf numFmtId="0" fontId="0" fillId="0" borderId="0" xfId="0" applyAlignment="1">
      <alignment horizontal="right"/>
    </xf>
    <xf numFmtId="165" fontId="0" fillId="0" borderId="0" xfId="0" applyNumberFormat="1"/>
    <xf numFmtId="0" fontId="7" fillId="0" borderId="0" xfId="0" applyFont="1"/>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0" fillId="0" borderId="0" xfId="0" applyAlignment="1">
      <alignment wrapText="1"/>
    </xf>
    <xf numFmtId="0" fontId="0" fillId="4" borderId="0" xfId="0" applyFill="1" applyAlignment="1">
      <alignment wrapText="1"/>
    </xf>
    <xf numFmtId="0" fontId="0" fillId="10" borderId="0" xfId="0" applyFill="1"/>
    <xf numFmtId="0" fontId="0" fillId="6" borderId="0" xfId="0" applyFill="1"/>
    <xf numFmtId="0" fontId="9" fillId="5" borderId="0" xfId="0" applyFont="1" applyFill="1" applyAlignment="1">
      <alignment horizontal="center"/>
    </xf>
    <xf numFmtId="2" fontId="0" fillId="0" borderId="0" xfId="0" applyNumberFormat="1"/>
    <xf numFmtId="0" fontId="0" fillId="0" borderId="0" xfId="0" applyFill="1"/>
    <xf numFmtId="0" fontId="0" fillId="12" borderId="0" xfId="0" applyFill="1"/>
    <xf numFmtId="0" fontId="0" fillId="14" borderId="1" xfId="0" applyFill="1" applyBorder="1"/>
    <xf numFmtId="166" fontId="0" fillId="14" borderId="1" xfId="0" applyNumberFormat="1" applyFill="1" applyBorder="1"/>
    <xf numFmtId="2" fontId="0" fillId="14" borderId="1" xfId="0" applyNumberFormat="1" applyFill="1" applyBorder="1"/>
    <xf numFmtId="2" fontId="0" fillId="0" borderId="1" xfId="0" applyNumberFormat="1" applyBorder="1"/>
    <xf numFmtId="2" fontId="0" fillId="0" borderId="1" xfId="0" applyNumberFormat="1" applyFill="1" applyBorder="1"/>
    <xf numFmtId="0" fontId="6" fillId="14" borderId="1" xfId="1" applyFill="1" applyBorder="1"/>
    <xf numFmtId="3" fontId="0" fillId="14" borderId="1" xfId="0" applyNumberFormat="1" applyFill="1" applyBorder="1"/>
    <xf numFmtId="0" fontId="0" fillId="5" borderId="1" xfId="0" applyFill="1" applyBorder="1"/>
    <xf numFmtId="0" fontId="0" fillId="14" borderId="1" xfId="0" applyFill="1" applyBorder="1" applyAlignment="1"/>
    <xf numFmtId="2" fontId="0" fillId="5" borderId="1" xfId="0" applyNumberFormat="1" applyFill="1" applyBorder="1"/>
    <xf numFmtId="2" fontId="3" fillId="0" borderId="0" xfId="0" applyNumberFormat="1" applyFont="1" applyFill="1"/>
    <xf numFmtId="0" fontId="0" fillId="0" borderId="0" xfId="0" applyFont="1" applyFill="1"/>
    <xf numFmtId="43" fontId="0" fillId="14" borderId="1" xfId="0" applyNumberFormat="1" applyFill="1" applyBorder="1"/>
    <xf numFmtId="1" fontId="2" fillId="0" borderId="0" xfId="0" applyNumberFormat="1" applyFont="1" applyFill="1"/>
    <xf numFmtId="43" fontId="0" fillId="0" borderId="0" xfId="0" applyNumberFormat="1"/>
    <xf numFmtId="0" fontId="1" fillId="0" borderId="0" xfId="0" applyFont="1" applyBorder="1"/>
    <xf numFmtId="0" fontId="1" fillId="6" borderId="0" xfId="0" applyFont="1" applyFill="1" applyBorder="1"/>
    <xf numFmtId="0" fontId="1" fillId="12" borderId="0" xfId="0" applyFont="1" applyFill="1" applyBorder="1"/>
    <xf numFmtId="0" fontId="1" fillId="0" borderId="8" xfId="0" applyFont="1" applyBorder="1"/>
    <xf numFmtId="0" fontId="1" fillId="0" borderId="8" xfId="0" applyFont="1" applyFill="1" applyBorder="1"/>
    <xf numFmtId="0" fontId="0" fillId="15" borderId="9" xfId="0" applyFill="1" applyBorder="1"/>
    <xf numFmtId="2" fontId="0" fillId="15" borderId="10" xfId="0" applyNumberFormat="1" applyFill="1" applyBorder="1"/>
    <xf numFmtId="0" fontId="0" fillId="15" borderId="10" xfId="0" applyFill="1" applyBorder="1"/>
    <xf numFmtId="164" fontId="0" fillId="15" borderId="10" xfId="0" applyNumberFormat="1" applyFill="1" applyBorder="1"/>
    <xf numFmtId="164" fontId="0" fillId="15" borderId="11" xfId="0" applyNumberFormat="1" applyFill="1" applyBorder="1"/>
    <xf numFmtId="0" fontId="0" fillId="0" borderId="12" xfId="0" applyFill="1" applyBorder="1"/>
    <xf numFmtId="2" fontId="0" fillId="0" borderId="13" xfId="0" applyNumberFormat="1" applyBorder="1"/>
    <xf numFmtId="0" fontId="0" fillId="0" borderId="13" xfId="0" applyBorder="1"/>
    <xf numFmtId="164" fontId="0" fillId="0" borderId="13" xfId="0" applyNumberFormat="1" applyBorder="1"/>
    <xf numFmtId="164" fontId="0" fillId="0" borderId="14" xfId="0" applyNumberFormat="1" applyBorder="1"/>
    <xf numFmtId="0" fontId="0" fillId="15" borderId="12" xfId="0" applyFill="1" applyBorder="1"/>
    <xf numFmtId="2" fontId="0" fillId="15" borderId="13" xfId="0" applyNumberFormat="1" applyFill="1" applyBorder="1"/>
    <xf numFmtId="0" fontId="0" fillId="15" borderId="13" xfId="0" applyFill="1" applyBorder="1"/>
    <xf numFmtId="164" fontId="0" fillId="15" borderId="13" xfId="0" applyNumberFormat="1" applyFill="1" applyBorder="1"/>
    <xf numFmtId="164" fontId="0" fillId="15" borderId="14" xfId="0" applyNumberFormat="1" applyFill="1" applyBorder="1"/>
    <xf numFmtId="0" fontId="0" fillId="0" borderId="15" xfId="0" applyFill="1" applyBorder="1"/>
    <xf numFmtId="2" fontId="0" fillId="0" borderId="16" xfId="0" applyNumberFormat="1" applyBorder="1"/>
    <xf numFmtId="0" fontId="0" fillId="0" borderId="16" xfId="0" applyBorder="1"/>
    <xf numFmtId="164" fontId="0" fillId="0" borderId="16" xfId="0" applyNumberFormat="1" applyBorder="1"/>
    <xf numFmtId="164" fontId="0" fillId="0" borderId="17" xfId="0" applyNumberFormat="1" applyBorder="1"/>
    <xf numFmtId="0" fontId="1" fillId="16" borderId="0" xfId="0" applyFont="1" applyFill="1"/>
    <xf numFmtId="0" fontId="0" fillId="16" borderId="0" xfId="0" applyFill="1"/>
    <xf numFmtId="0" fontId="1" fillId="2" borderId="0" xfId="0" applyFont="1" applyFill="1"/>
    <xf numFmtId="0" fontId="0" fillId="2" borderId="0" xfId="0" applyFill="1"/>
    <xf numFmtId="0" fontId="1" fillId="16" borderId="0" xfId="0" applyFont="1" applyFill="1" applyAlignment="1">
      <alignment horizontal="left" wrapText="1"/>
    </xf>
    <xf numFmtId="0" fontId="1" fillId="2" borderId="0" xfId="0" applyFont="1" applyFill="1" applyAlignment="1">
      <alignment wrapText="1"/>
    </xf>
    <xf numFmtId="0" fontId="0" fillId="0" borderId="18" xfId="0" applyBorder="1"/>
    <xf numFmtId="1" fontId="0" fillId="14" borderId="18" xfId="0" applyNumberFormat="1" applyFill="1" applyBorder="1"/>
    <xf numFmtId="0" fontId="0" fillId="14" borderId="18" xfId="0" applyFill="1" applyBorder="1"/>
    <xf numFmtId="0" fontId="0" fillId="17" borderId="19" xfId="0" applyFill="1" applyBorder="1"/>
    <xf numFmtId="0" fontId="0" fillId="0" borderId="19" xfId="0" applyBorder="1"/>
    <xf numFmtId="0" fontId="0" fillId="14" borderId="19" xfId="0" applyFill="1" applyBorder="1"/>
    <xf numFmtId="0" fontId="16"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6" fillId="17" borderId="1" xfId="0" applyFont="1" applyFill="1" applyBorder="1" applyAlignment="1">
      <alignment horizontal="center" vertical="center" wrapText="1"/>
    </xf>
    <xf numFmtId="167" fontId="0" fillId="0" borderId="0" xfId="0" applyNumberFormat="1"/>
    <xf numFmtId="0" fontId="0" fillId="0" borderId="1" xfId="0" applyFill="1" applyBorder="1"/>
    <xf numFmtId="6" fontId="0" fillId="14" borderId="1" xfId="0" applyNumberFormat="1" applyFill="1" applyBorder="1"/>
    <xf numFmtId="0" fontId="0" fillId="0" borderId="0" xfId="0" applyAlignment="1">
      <alignment horizontal="center"/>
    </xf>
    <xf numFmtId="0" fontId="0" fillId="0" borderId="0" xfId="0" applyAlignment="1">
      <alignment horizontal="center"/>
    </xf>
    <xf numFmtId="0" fontId="0" fillId="17" borderId="18" xfId="0" applyFill="1" applyBorder="1"/>
    <xf numFmtId="0" fontId="0" fillId="14" borderId="18" xfId="0" applyFill="1" applyBorder="1" applyAlignment="1">
      <alignment horizontal="center"/>
    </xf>
    <xf numFmtId="0" fontId="0" fillId="17" borderId="18" xfId="0" applyFill="1" applyBorder="1" applyAlignment="1">
      <alignment horizontal="center"/>
    </xf>
    <xf numFmtId="1" fontId="0" fillId="17" borderId="18" xfId="0" applyNumberFormat="1" applyFill="1" applyBorder="1"/>
    <xf numFmtId="0" fontId="0" fillId="17" borderId="19" xfId="0" applyFill="1" applyBorder="1" applyAlignment="1">
      <alignment horizontal="center"/>
    </xf>
    <xf numFmtId="0" fontId="0" fillId="14" borderId="0" xfId="0" applyFill="1"/>
    <xf numFmtId="0" fontId="0" fillId="14" borderId="0" xfId="0" applyFill="1" applyAlignment="1">
      <alignment horizontal="center"/>
    </xf>
    <xf numFmtId="167" fontId="0" fillId="14" borderId="0" xfId="0" applyNumberFormat="1" applyFill="1"/>
    <xf numFmtId="167" fontId="13" fillId="14" borderId="0" xfId="0" applyNumberFormat="1" applyFont="1" applyFill="1" applyBorder="1" applyAlignment="1" applyProtection="1"/>
    <xf numFmtId="167" fontId="13" fillId="0" borderId="0" xfId="0" applyNumberFormat="1" applyFont="1" applyFill="1" applyBorder="1" applyAlignment="1" applyProtection="1"/>
    <xf numFmtId="1" fontId="0" fillId="14" borderId="1" xfId="0" applyNumberFormat="1" applyFill="1" applyBorder="1"/>
    <xf numFmtId="2" fontId="6" fillId="14" borderId="1" xfId="1" applyNumberFormat="1" applyFill="1" applyBorder="1"/>
    <xf numFmtId="0" fontId="1" fillId="0" borderId="1" xfId="0" applyFont="1" applyBorder="1" applyAlignment="1">
      <alignment horizontal="center" wrapText="1"/>
    </xf>
    <xf numFmtId="0" fontId="16" fillId="0" borderId="1" xfId="0" applyFont="1" applyBorder="1" applyAlignment="1">
      <alignment horizontal="center" vertical="center" wrapText="1"/>
    </xf>
    <xf numFmtId="0" fontId="16" fillId="17"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11" borderId="0" xfId="0" applyFill="1" applyAlignment="1">
      <alignment horizontal="center"/>
    </xf>
    <xf numFmtId="0" fontId="0" fillId="7" borderId="0" xfId="0" applyFill="1" applyAlignment="1">
      <alignment horizontal="center"/>
    </xf>
    <xf numFmtId="0" fontId="0" fillId="10" borderId="0" xfId="0" applyFill="1" applyAlignment="1">
      <alignment horizontal="center" wrapText="1"/>
    </xf>
    <xf numFmtId="0" fontId="1" fillId="0" borderId="0" xfId="0" applyFont="1" applyAlignment="1">
      <alignment horizontal="center" wrapText="1"/>
    </xf>
    <xf numFmtId="0" fontId="0" fillId="13" borderId="0" xfId="0" applyFill="1" applyAlignment="1">
      <alignment horizontal="center" wrapText="1"/>
    </xf>
    <xf numFmtId="0" fontId="1" fillId="8" borderId="0"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11" borderId="0" xfId="0" applyFont="1" applyFill="1" applyBorder="1" applyAlignment="1">
      <alignment horizontal="center"/>
    </xf>
    <xf numFmtId="0" fontId="1" fillId="7" borderId="0" xfId="0" applyFont="1" applyFill="1" applyBorder="1" applyAlignment="1">
      <alignment horizontal="center"/>
    </xf>
    <xf numFmtId="0" fontId="1" fillId="10" borderId="0" xfId="0" applyFont="1" applyFill="1" applyBorder="1" applyAlignment="1">
      <alignment horizontal="center" wrapText="1"/>
    </xf>
    <xf numFmtId="0" fontId="1" fillId="5" borderId="0" xfId="0" applyFont="1" applyFill="1" applyBorder="1" applyAlignment="1">
      <alignment horizontal="center" wrapText="1"/>
    </xf>
    <xf numFmtId="0" fontId="1" fillId="5" borderId="8" xfId="0" applyFont="1" applyFill="1" applyBorder="1" applyAlignment="1">
      <alignment horizontal="center" wrapText="1"/>
    </xf>
    <xf numFmtId="0" fontId="1" fillId="13" borderId="0" xfId="0" applyFont="1" applyFill="1" applyBorder="1" applyAlignment="1">
      <alignment horizontal="center" wrapText="1"/>
    </xf>
    <xf numFmtId="0" fontId="9" fillId="9" borderId="0" xfId="0" applyFont="1" applyFill="1" applyAlignment="1">
      <alignment horizontal="center"/>
    </xf>
    <xf numFmtId="0" fontId="12" fillId="5" borderId="0" xfId="0" applyFont="1" applyFill="1" applyAlignment="1">
      <alignment horizontal="center"/>
    </xf>
    <xf numFmtId="0" fontId="1" fillId="2"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5B9BD5"/>
      <color rgb="FFED7D31"/>
      <color rgb="FFFF9933"/>
      <color rgb="FFFF6600"/>
      <color rgb="FFFFCDFF"/>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Preproject EAD</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EADExample!$B$4:$D$4</c:f>
              <c:numCache>
                <c:formatCode>General</c:formatCode>
                <c:ptCount val="3"/>
                <c:pt idx="0">
                  <c:v>0.5</c:v>
                </c:pt>
                <c:pt idx="1">
                  <c:v>0.05</c:v>
                </c:pt>
                <c:pt idx="2">
                  <c:v>0.01</c:v>
                </c:pt>
              </c:numCache>
            </c:numRef>
          </c:xVal>
          <c:yVal>
            <c:numRef>
              <c:f>EADExample!$B$5:$D$5</c:f>
              <c:numCache>
                <c:formatCode>"$"#,##0</c:formatCode>
                <c:ptCount val="3"/>
                <c:pt idx="0">
                  <c:v>0</c:v>
                </c:pt>
                <c:pt idx="1">
                  <c:v>0</c:v>
                </c:pt>
                <c:pt idx="2">
                  <c:v>0</c:v>
                </c:pt>
              </c:numCache>
            </c:numRef>
          </c:yVal>
          <c:smooth val="0"/>
        </c:ser>
        <c:dLbls>
          <c:showLegendKey val="0"/>
          <c:showVal val="0"/>
          <c:showCatName val="0"/>
          <c:showSerName val="0"/>
          <c:showPercent val="0"/>
          <c:showBubbleSize val="0"/>
        </c:dLbls>
        <c:axId val="223275128"/>
        <c:axId val="223279048"/>
      </c:scatterChart>
      <c:valAx>
        <c:axId val="2232751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279048"/>
        <c:crosses val="autoZero"/>
        <c:crossBetween val="midCat"/>
      </c:valAx>
      <c:valAx>
        <c:axId val="2232790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2751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Postproject EAD</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EADExample!$F$4:$H$4</c:f>
              <c:numCache>
                <c:formatCode>General</c:formatCode>
                <c:ptCount val="3"/>
                <c:pt idx="0">
                  <c:v>0.5</c:v>
                </c:pt>
                <c:pt idx="1">
                  <c:v>0.05</c:v>
                </c:pt>
                <c:pt idx="2">
                  <c:v>0.01</c:v>
                </c:pt>
              </c:numCache>
            </c:numRef>
          </c:xVal>
          <c:yVal>
            <c:numRef>
              <c:f>EADExample!$F$5:$H$5</c:f>
              <c:numCache>
                <c:formatCode>"$"#,##0</c:formatCode>
                <c:ptCount val="3"/>
                <c:pt idx="0">
                  <c:v>0</c:v>
                </c:pt>
                <c:pt idx="1">
                  <c:v>0</c:v>
                </c:pt>
                <c:pt idx="2">
                  <c:v>0</c:v>
                </c:pt>
              </c:numCache>
            </c:numRef>
          </c:yVal>
          <c:smooth val="0"/>
        </c:ser>
        <c:dLbls>
          <c:showLegendKey val="0"/>
          <c:showVal val="0"/>
          <c:showCatName val="0"/>
          <c:showSerName val="0"/>
          <c:showPercent val="0"/>
          <c:showBubbleSize val="0"/>
        </c:dLbls>
        <c:axId val="956108904"/>
        <c:axId val="956112040"/>
      </c:scatterChart>
      <c:valAx>
        <c:axId val="956108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12040"/>
        <c:crosses val="autoZero"/>
        <c:crossBetween val="midCat"/>
      </c:valAx>
      <c:valAx>
        <c:axId val="9561120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08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USFWS15</a:t>
            </a:r>
          </a:p>
          <a:p>
            <a:pPr>
              <a:defRPr/>
            </a:pPr>
            <a:r>
              <a:rPr lang="en-US"/>
              <a:t>Pre-Project &amp; Post-Project</a:t>
            </a:r>
            <a:r>
              <a:rPr lang="en-US" baseline="0"/>
              <a:t> Expected Annual Flood Damages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EADExample!$B$17:$B$18</c:f>
              <c:strCache>
                <c:ptCount val="2"/>
                <c:pt idx="0">
                  <c:v>Pre-Project EAD</c:v>
                </c:pt>
                <c:pt idx="1">
                  <c:v>Post-Project EAD</c:v>
                </c:pt>
              </c:strCache>
            </c:strRef>
          </c:cat>
          <c:val>
            <c:numRef>
              <c:f>EADExample!$C$17:$C$18</c:f>
              <c:numCache>
                <c:formatCode>"$"#,##0</c:formatCode>
                <c:ptCount val="2"/>
                <c:pt idx="0">
                  <c:v>0</c:v>
                </c:pt>
                <c:pt idx="1">
                  <c:v>0</c:v>
                </c:pt>
              </c:numCache>
            </c:numRef>
          </c:val>
        </c:ser>
        <c:dLbls>
          <c:showLegendKey val="0"/>
          <c:showVal val="0"/>
          <c:showCatName val="0"/>
          <c:showSerName val="0"/>
          <c:showPercent val="0"/>
          <c:showBubbleSize val="0"/>
        </c:dLbls>
        <c:gapWidth val="182"/>
        <c:axId val="956108120"/>
        <c:axId val="956108512"/>
      </c:barChart>
      <c:catAx>
        <c:axId val="956108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08512"/>
        <c:crosses val="autoZero"/>
        <c:auto val="1"/>
        <c:lblAlgn val="ctr"/>
        <c:lblOffset val="100"/>
        <c:noMultiLvlLbl val="0"/>
      </c:catAx>
      <c:valAx>
        <c:axId val="95610851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0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Coastal_DDF!$D$15</c:f>
              <c:strCache>
                <c:ptCount val="1"/>
                <c:pt idx="0">
                  <c:v>RES1.1.Piers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Coastal_DDF!$G$10:$AP$10</c:f>
              <c:numCache>
                <c:formatCode>General</c:formatCode>
                <c:ptCount val="36"/>
                <c:pt idx="0">
                  <c:v>-9</c:v>
                </c:pt>
                <c:pt idx="1">
                  <c:v>-8</c:v>
                </c:pt>
                <c:pt idx="2">
                  <c:v>-7</c:v>
                </c:pt>
                <c:pt idx="3">
                  <c:v>-6</c:v>
                </c:pt>
                <c:pt idx="4">
                  <c:v>-5</c:v>
                </c:pt>
                <c:pt idx="5">
                  <c:v>-4</c:v>
                </c:pt>
                <c:pt idx="6">
                  <c:v>-3</c:v>
                </c:pt>
                <c:pt idx="7">
                  <c:v>-2</c:v>
                </c:pt>
                <c:pt idx="8">
                  <c:v>-1</c:v>
                </c:pt>
                <c:pt idx="9">
                  <c:v>-0.5</c:v>
                </c:pt>
                <c:pt idx="10">
                  <c:v>0</c:v>
                </c:pt>
                <c:pt idx="11">
                  <c:v>0.5</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numCache>
            </c:numRef>
          </c:cat>
          <c:val>
            <c:numRef>
              <c:f>Coastal_DDF!$G$15:$AP$15</c:f>
              <c:numCache>
                <c:formatCode>General</c:formatCode>
                <c:ptCount val="36"/>
                <c:pt idx="0">
                  <c:v>0</c:v>
                </c:pt>
                <c:pt idx="1">
                  <c:v>0</c:v>
                </c:pt>
                <c:pt idx="2">
                  <c:v>0.66666666666666663</c:v>
                </c:pt>
                <c:pt idx="3">
                  <c:v>1.3333333333333333</c:v>
                </c:pt>
                <c:pt idx="4">
                  <c:v>2</c:v>
                </c:pt>
                <c:pt idx="5">
                  <c:v>3</c:v>
                </c:pt>
                <c:pt idx="6">
                  <c:v>4</c:v>
                </c:pt>
                <c:pt idx="7">
                  <c:v>8</c:v>
                </c:pt>
                <c:pt idx="8">
                  <c:v>12</c:v>
                </c:pt>
                <c:pt idx="9">
                  <c:v>16</c:v>
                </c:pt>
                <c:pt idx="10">
                  <c:v>20</c:v>
                </c:pt>
                <c:pt idx="11">
                  <c:v>28</c:v>
                </c:pt>
                <c:pt idx="12">
                  <c:v>35</c:v>
                </c:pt>
                <c:pt idx="13">
                  <c:v>40</c:v>
                </c:pt>
                <c:pt idx="14">
                  <c:v>60</c:v>
                </c:pt>
                <c:pt idx="15">
                  <c:v>65</c:v>
                </c:pt>
                <c:pt idx="16">
                  <c:v>70</c:v>
                </c:pt>
                <c:pt idx="17">
                  <c:v>75</c:v>
                </c:pt>
                <c:pt idx="18">
                  <c:v>80</c:v>
                </c:pt>
                <c:pt idx="19">
                  <c:v>86.666666666666671</c:v>
                </c:pt>
                <c:pt idx="20">
                  <c:v>93.333333333333329</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numCache>
            </c:numRef>
          </c:val>
          <c:smooth val="0"/>
        </c:ser>
        <c:ser>
          <c:idx val="0"/>
          <c:order val="1"/>
          <c:tx>
            <c:strRef>
              <c:f>Coastal_DDF!$D$11</c:f>
              <c:strCache>
                <c:ptCount val="1"/>
                <c:pt idx="0">
                  <c:v>RES1.1.Slab</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Coastal_DDF!$G$10:$AP$10</c:f>
              <c:numCache>
                <c:formatCode>General</c:formatCode>
                <c:ptCount val="36"/>
                <c:pt idx="0">
                  <c:v>-9</c:v>
                </c:pt>
                <c:pt idx="1">
                  <c:v>-8</c:v>
                </c:pt>
                <c:pt idx="2">
                  <c:v>-7</c:v>
                </c:pt>
                <c:pt idx="3">
                  <c:v>-6</c:v>
                </c:pt>
                <c:pt idx="4">
                  <c:v>-5</c:v>
                </c:pt>
                <c:pt idx="5">
                  <c:v>-4</c:v>
                </c:pt>
                <c:pt idx="6">
                  <c:v>-3</c:v>
                </c:pt>
                <c:pt idx="7">
                  <c:v>-2</c:v>
                </c:pt>
                <c:pt idx="8">
                  <c:v>-1</c:v>
                </c:pt>
                <c:pt idx="9">
                  <c:v>-0.5</c:v>
                </c:pt>
                <c:pt idx="10">
                  <c:v>0</c:v>
                </c:pt>
                <c:pt idx="11">
                  <c:v>0.5</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numCache>
            </c:numRef>
          </c:cat>
          <c:val>
            <c:numRef>
              <c:f>Coastal_DDF!$G$11:$AP$11</c:f>
              <c:numCache>
                <c:formatCode>General</c:formatCode>
                <c:ptCount val="36"/>
                <c:pt idx="0">
                  <c:v>0</c:v>
                </c:pt>
                <c:pt idx="1">
                  <c:v>0</c:v>
                </c:pt>
                <c:pt idx="2">
                  <c:v>0</c:v>
                </c:pt>
                <c:pt idx="3">
                  <c:v>0</c:v>
                </c:pt>
                <c:pt idx="4">
                  <c:v>0</c:v>
                </c:pt>
                <c:pt idx="5">
                  <c:v>0</c:v>
                </c:pt>
                <c:pt idx="6">
                  <c:v>0</c:v>
                </c:pt>
                <c:pt idx="7">
                  <c:v>0</c:v>
                </c:pt>
                <c:pt idx="8">
                  <c:v>0</c:v>
                </c:pt>
                <c:pt idx="9">
                  <c:v>0</c:v>
                </c:pt>
                <c:pt idx="10">
                  <c:v>1</c:v>
                </c:pt>
                <c:pt idx="11">
                  <c:v>10</c:v>
                </c:pt>
                <c:pt idx="12">
                  <c:v>18</c:v>
                </c:pt>
                <c:pt idx="13">
                  <c:v>28</c:v>
                </c:pt>
                <c:pt idx="14">
                  <c:v>33</c:v>
                </c:pt>
                <c:pt idx="15">
                  <c:v>37.5</c:v>
                </c:pt>
                <c:pt idx="16">
                  <c:v>42</c:v>
                </c:pt>
                <c:pt idx="17">
                  <c:v>48.5</c:v>
                </c:pt>
                <c:pt idx="18">
                  <c:v>55</c:v>
                </c:pt>
                <c:pt idx="19">
                  <c:v>58.333333333333336</c:v>
                </c:pt>
                <c:pt idx="20">
                  <c:v>61.666666666666664</c:v>
                </c:pt>
                <c:pt idx="21">
                  <c:v>65</c:v>
                </c:pt>
                <c:pt idx="22">
                  <c:v>68.333333333333329</c:v>
                </c:pt>
                <c:pt idx="23">
                  <c:v>71.666666666666657</c:v>
                </c:pt>
                <c:pt idx="24">
                  <c:v>74.999999999999986</c:v>
                </c:pt>
                <c:pt idx="25">
                  <c:v>78.333333333333314</c:v>
                </c:pt>
                <c:pt idx="26">
                  <c:v>81.666666666666657</c:v>
                </c:pt>
                <c:pt idx="27">
                  <c:v>85</c:v>
                </c:pt>
                <c:pt idx="28">
                  <c:v>88.333333333333343</c:v>
                </c:pt>
                <c:pt idx="29">
                  <c:v>91.666666666666686</c:v>
                </c:pt>
                <c:pt idx="30">
                  <c:v>95.000000000000028</c:v>
                </c:pt>
                <c:pt idx="31">
                  <c:v>98.333333333333357</c:v>
                </c:pt>
                <c:pt idx="32">
                  <c:v>100</c:v>
                </c:pt>
                <c:pt idx="33">
                  <c:v>100</c:v>
                </c:pt>
                <c:pt idx="34">
                  <c:v>100</c:v>
                </c:pt>
                <c:pt idx="35">
                  <c:v>100</c:v>
                </c:pt>
              </c:numCache>
            </c:numRef>
          </c:val>
          <c:smooth val="0"/>
        </c:ser>
        <c:ser>
          <c:idx val="2"/>
          <c:order val="2"/>
          <c:tx>
            <c:strRef>
              <c:f>Coastal_DDF!$D$14</c:f>
              <c:strCache>
                <c:ptCount val="1"/>
                <c:pt idx="0">
                  <c:v>RES1.2.Basement</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Coastal_DDF!$G$10:$AP$10</c:f>
              <c:numCache>
                <c:formatCode>General</c:formatCode>
                <c:ptCount val="36"/>
                <c:pt idx="0">
                  <c:v>-9</c:v>
                </c:pt>
                <c:pt idx="1">
                  <c:v>-8</c:v>
                </c:pt>
                <c:pt idx="2">
                  <c:v>-7</c:v>
                </c:pt>
                <c:pt idx="3">
                  <c:v>-6</c:v>
                </c:pt>
                <c:pt idx="4">
                  <c:v>-5</c:v>
                </c:pt>
                <c:pt idx="5">
                  <c:v>-4</c:v>
                </c:pt>
                <c:pt idx="6">
                  <c:v>-3</c:v>
                </c:pt>
                <c:pt idx="7">
                  <c:v>-2</c:v>
                </c:pt>
                <c:pt idx="8">
                  <c:v>-1</c:v>
                </c:pt>
                <c:pt idx="9">
                  <c:v>-0.5</c:v>
                </c:pt>
                <c:pt idx="10">
                  <c:v>0</c:v>
                </c:pt>
                <c:pt idx="11">
                  <c:v>0.5</c:v>
                </c:pt>
                <c:pt idx="12">
                  <c:v>1</c:v>
                </c:pt>
                <c:pt idx="13">
                  <c:v>2</c:v>
                </c:pt>
                <c:pt idx="14">
                  <c:v>3</c:v>
                </c:pt>
                <c:pt idx="15">
                  <c:v>4</c:v>
                </c:pt>
                <c:pt idx="16">
                  <c:v>5</c:v>
                </c:pt>
                <c:pt idx="17">
                  <c:v>6</c:v>
                </c:pt>
                <c:pt idx="18">
                  <c:v>7</c:v>
                </c:pt>
                <c:pt idx="19">
                  <c:v>8</c:v>
                </c:pt>
                <c:pt idx="20">
                  <c:v>9</c:v>
                </c:pt>
                <c:pt idx="21">
                  <c:v>10</c:v>
                </c:pt>
                <c:pt idx="22">
                  <c:v>11</c:v>
                </c:pt>
                <c:pt idx="23">
                  <c:v>12</c:v>
                </c:pt>
                <c:pt idx="24">
                  <c:v>13</c:v>
                </c:pt>
                <c:pt idx="25">
                  <c:v>14</c:v>
                </c:pt>
                <c:pt idx="26">
                  <c:v>15</c:v>
                </c:pt>
                <c:pt idx="27">
                  <c:v>16</c:v>
                </c:pt>
                <c:pt idx="28">
                  <c:v>17</c:v>
                </c:pt>
                <c:pt idx="29">
                  <c:v>18</c:v>
                </c:pt>
                <c:pt idx="30">
                  <c:v>19</c:v>
                </c:pt>
                <c:pt idx="31">
                  <c:v>20</c:v>
                </c:pt>
                <c:pt idx="32">
                  <c:v>21</c:v>
                </c:pt>
                <c:pt idx="33">
                  <c:v>22</c:v>
                </c:pt>
                <c:pt idx="34">
                  <c:v>23</c:v>
                </c:pt>
                <c:pt idx="35">
                  <c:v>24</c:v>
                </c:pt>
              </c:numCache>
            </c:numRef>
          </c:cat>
          <c:val>
            <c:numRef>
              <c:f>Coastal_DDF!$G$14:$AP$14</c:f>
              <c:numCache>
                <c:formatCode>General</c:formatCode>
                <c:ptCount val="36"/>
                <c:pt idx="0">
                  <c:v>0</c:v>
                </c:pt>
                <c:pt idx="1">
                  <c:v>0</c:v>
                </c:pt>
                <c:pt idx="2">
                  <c:v>1</c:v>
                </c:pt>
                <c:pt idx="3">
                  <c:v>2</c:v>
                </c:pt>
                <c:pt idx="4">
                  <c:v>3</c:v>
                </c:pt>
                <c:pt idx="5">
                  <c:v>5</c:v>
                </c:pt>
                <c:pt idx="6">
                  <c:v>7</c:v>
                </c:pt>
                <c:pt idx="7">
                  <c:v>8.5</c:v>
                </c:pt>
                <c:pt idx="8">
                  <c:v>10</c:v>
                </c:pt>
                <c:pt idx="9">
                  <c:v>12</c:v>
                </c:pt>
                <c:pt idx="10">
                  <c:v>15</c:v>
                </c:pt>
                <c:pt idx="11">
                  <c:v>20</c:v>
                </c:pt>
                <c:pt idx="12">
                  <c:v>25</c:v>
                </c:pt>
                <c:pt idx="13">
                  <c:v>30</c:v>
                </c:pt>
                <c:pt idx="14">
                  <c:v>35</c:v>
                </c:pt>
                <c:pt idx="15">
                  <c:v>42.5</c:v>
                </c:pt>
                <c:pt idx="16">
                  <c:v>50</c:v>
                </c:pt>
                <c:pt idx="17">
                  <c:v>55</c:v>
                </c:pt>
                <c:pt idx="18">
                  <c:v>60</c:v>
                </c:pt>
                <c:pt idx="19">
                  <c:v>63.333333333333336</c:v>
                </c:pt>
                <c:pt idx="20">
                  <c:v>66.666666666666671</c:v>
                </c:pt>
                <c:pt idx="21">
                  <c:v>70</c:v>
                </c:pt>
                <c:pt idx="22">
                  <c:v>73.333333333333343</c:v>
                </c:pt>
                <c:pt idx="23">
                  <c:v>76.666666666666671</c:v>
                </c:pt>
                <c:pt idx="24">
                  <c:v>80</c:v>
                </c:pt>
                <c:pt idx="25">
                  <c:v>83.333333333333343</c:v>
                </c:pt>
                <c:pt idx="26">
                  <c:v>86.666666666666671</c:v>
                </c:pt>
                <c:pt idx="27">
                  <c:v>90</c:v>
                </c:pt>
                <c:pt idx="28">
                  <c:v>93.333333333333343</c:v>
                </c:pt>
                <c:pt idx="29">
                  <c:v>96.666666666666671</c:v>
                </c:pt>
                <c:pt idx="30">
                  <c:v>100</c:v>
                </c:pt>
                <c:pt idx="31">
                  <c:v>100</c:v>
                </c:pt>
                <c:pt idx="32">
                  <c:v>100</c:v>
                </c:pt>
                <c:pt idx="33">
                  <c:v>100</c:v>
                </c:pt>
                <c:pt idx="34">
                  <c:v>100</c:v>
                </c:pt>
                <c:pt idx="35">
                  <c:v>100</c:v>
                </c:pt>
              </c:numCache>
            </c:numRef>
          </c:val>
          <c:smooth val="0"/>
        </c:ser>
        <c:dLbls>
          <c:showLegendKey val="0"/>
          <c:showVal val="0"/>
          <c:showCatName val="0"/>
          <c:showSerName val="0"/>
          <c:showPercent val="0"/>
          <c:showBubbleSize val="0"/>
        </c:dLbls>
        <c:marker val="1"/>
        <c:smooth val="0"/>
        <c:axId val="956111256"/>
        <c:axId val="956112432"/>
      </c:lineChart>
      <c:catAx>
        <c:axId val="956111256"/>
        <c:scaling>
          <c:orientation val="minMax"/>
        </c:scaling>
        <c:delete val="0"/>
        <c:axPos val="b"/>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Depth - FFE (feet)</a:t>
                </a:r>
              </a:p>
            </c:rich>
          </c:tx>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56112432"/>
        <c:crosses val="autoZero"/>
        <c:auto val="1"/>
        <c:lblAlgn val="ctr"/>
        <c:lblOffset val="100"/>
        <c:noMultiLvlLbl val="0"/>
      </c:catAx>
      <c:valAx>
        <c:axId val="956112432"/>
        <c:scaling>
          <c:orientation val="minMax"/>
          <c:max val="110"/>
          <c:min val="0"/>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a:t>Percent Loss</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956111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0</xdr:row>
      <xdr:rowOff>171449</xdr:rowOff>
    </xdr:from>
    <xdr:to>
      <xdr:col>0</xdr:col>
      <xdr:colOff>11287125</xdr:colOff>
      <xdr:row>29</xdr:row>
      <xdr:rowOff>28574</xdr:rowOff>
    </xdr:to>
    <xdr:sp macro="" textlink="">
      <xdr:nvSpPr>
        <xdr:cNvPr id="2" name="TextBox 1"/>
        <xdr:cNvSpPr txBox="1"/>
      </xdr:nvSpPr>
      <xdr:spPr>
        <a:xfrm>
          <a:off x="104774" y="171449"/>
          <a:ext cx="11182351" cy="538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This</a:t>
          </a:r>
          <a:r>
            <a:rPr lang="en-US" sz="1400" baseline="0"/>
            <a:t> workbook calculates four difference socioeconomic metrics:</a:t>
          </a:r>
        </a:p>
        <a:p>
          <a:r>
            <a:rPr lang="en-US" sz="1400" baseline="0"/>
            <a:t>1) Number of buildings/properties exposed to flooding</a:t>
          </a:r>
        </a:p>
        <a:p>
          <a:r>
            <a:rPr lang="en-US" sz="1400" baseline="0"/>
            <a:t>2) Avoided expected annual damages for buildings that benefit from NFWF projects</a:t>
          </a:r>
        </a:p>
        <a:p>
          <a:r>
            <a:rPr lang="en-US" sz="1400" baseline="0"/>
            <a:t>3) miles of roads exposed to flooding</a:t>
          </a:r>
        </a:p>
        <a:p>
          <a:r>
            <a:rPr lang="en-US" sz="1400" baseline="0"/>
            <a:t>4) number of critical facilities exposed to flooding</a:t>
          </a:r>
        </a:p>
        <a:p>
          <a:endParaRPr lang="en-US" sz="1400" baseline="0"/>
        </a:p>
        <a:p>
          <a:r>
            <a:rPr lang="en-US" sz="1400" baseline="0"/>
            <a:t>Inputs for each of these metrics come GIS modeling of the ZOIs. Each metric is calucated for three flood events (2-year, 20-year, and 100-year) and converted to expected annual (see worksheet 'EADExample' and project report).</a:t>
          </a:r>
        </a:p>
        <a:p>
          <a:endParaRPr lang="en-US" sz="1400" baseline="0"/>
        </a:p>
        <a:p>
          <a:r>
            <a:rPr lang="en-US" sz="1400" baseline="0"/>
            <a:t>For buidlings ('Metric5ByProject'), roads (</a:t>
          </a:r>
          <a:r>
            <a:rPr lang="en-US" sz="1400" baseline="0">
              <a:solidFill>
                <a:schemeClr val="dk1"/>
              </a:solidFill>
              <a:effectLst/>
              <a:latin typeface="+mn-lt"/>
              <a:ea typeface="+mn-ea"/>
              <a:cs typeface="+mn-cs"/>
            </a:rPr>
            <a:t>'Metric11ByProject'</a:t>
          </a:r>
          <a:r>
            <a:rPr lang="en-US" sz="1400" baseline="0"/>
            <a:t>), and critical facilities (</a:t>
          </a:r>
          <a:r>
            <a:rPr lang="en-US" sz="1400" baseline="0">
              <a:solidFill>
                <a:schemeClr val="dk1"/>
              </a:solidFill>
              <a:effectLst/>
              <a:latin typeface="+mn-lt"/>
              <a:ea typeface="+mn-ea"/>
              <a:cs typeface="+mn-cs"/>
            </a:rPr>
            <a:t>'Metric21ByProject')</a:t>
          </a:r>
          <a:r>
            <a:rPr lang="en-US" sz="1400" baseline="0"/>
            <a:t> exposed, GIS modeling tallies the number/miles for each event and the worksheets here simply convert to expected annual.</a:t>
          </a:r>
        </a:p>
        <a:p>
          <a:endParaRPr lang="en-US" sz="1400" baseline="0"/>
        </a:p>
        <a:p>
          <a:r>
            <a:rPr lang="en-US" sz="1400" baseline="0"/>
            <a:t>For expected annual damages to buildings, there are four worksheets. 'Inputs' worksheet is where we enter charateristics for each building. 'Coastal_DDF' contains a number of depth-damage functions taken from FEMA's HAZUS software and from the USACE (2015) NACCS report. 'Damage' applies characteristics of the buildings and the appropriate depth damage functions to calculate pre-project and post-project damages for each building affected at each project site and across each flood event modeled. The UID column is a unique identifier to track each combination of building and NFWF project site. Finally, the worksheet 'Metric9ByProject' sums up damages across all buildings for each project and flood scenario and converts the result to expected annual damages pre-project and post-project. </a:t>
          </a:r>
        </a:p>
        <a:p>
          <a:endParaRPr lang="en-US" sz="1400" baseline="0"/>
        </a:p>
        <a:p>
          <a:r>
            <a:rPr lang="en-US" sz="1400" baseline="0"/>
            <a:t>The 'ReportOut' worksheet collates all final metric values for output to database.</a:t>
          </a:r>
        </a:p>
        <a:p>
          <a:endParaRPr lang="en-US" sz="1400" baseline="0"/>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Note that the project was ended sooner than originally planned and the calculations in this workbook did not go through Abt Associates’ standard quality review process.</a:t>
          </a:r>
        </a:p>
        <a:p>
          <a:endParaRPr lang="en-US" sz="1400" baseline="0"/>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390526</xdr:colOff>
      <xdr:row>0</xdr:row>
      <xdr:rowOff>147637</xdr:rowOff>
    </xdr:from>
    <xdr:to>
      <xdr:col>14</xdr:col>
      <xdr:colOff>390526</xdr:colOff>
      <xdr:row>12</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361950</xdr:colOff>
      <xdr:row>12</xdr:row>
      <xdr:rowOff>133350</xdr:rowOff>
    </xdr:from>
    <xdr:to>
      <xdr:col>14</xdr:col>
      <xdr:colOff>361950</xdr:colOff>
      <xdr:row>24</xdr:row>
      <xdr:rowOff>52388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304799</xdr:colOff>
      <xdr:row>18</xdr:row>
      <xdr:rowOff>147636</xdr:rowOff>
    </xdr:from>
    <xdr:to>
      <xdr:col>8</xdr:col>
      <xdr:colOff>371474</xdr:colOff>
      <xdr:row>34</xdr:row>
      <xdr:rowOff>171449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80871</xdr:colOff>
      <xdr:row>3</xdr:row>
      <xdr:rowOff>24850</xdr:rowOff>
    </xdr:from>
    <xdr:to>
      <xdr:col>25</xdr:col>
      <xdr:colOff>464472</xdr:colOff>
      <xdr:row>21</xdr:row>
      <xdr:rowOff>173935</xdr:rowOff>
    </xdr:to>
    <xdr:pic>
      <xdr:nvPicPr>
        <xdr:cNvPr id="5" name="Picture 4"/>
        <xdr:cNvPicPr>
          <a:picLocks noChangeAspect="1"/>
        </xdr:cNvPicPr>
      </xdr:nvPicPr>
      <xdr:blipFill>
        <a:blip xmlns:r="http://schemas.openxmlformats.org/officeDocument/2006/relationships" r:embed="rId4"/>
        <a:stretch>
          <a:fillRect/>
        </a:stretch>
      </xdr:blipFill>
      <xdr:spPr>
        <a:xfrm>
          <a:off x="10111110" y="596350"/>
          <a:ext cx="5899819" cy="3578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600075</xdr:colOff>
      <xdr:row>45</xdr:row>
      <xdr:rowOff>176212</xdr:rowOff>
    </xdr:from>
    <xdr:to>
      <xdr:col>28</xdr:col>
      <xdr:colOff>295276</xdr:colOff>
      <xdr:row>68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property.sussexcountyde.gov/idoc_documents/230-16.00-7.04.pdf" TargetMode="External"/><Relationship Id="rId13" Type="http://schemas.openxmlformats.org/officeDocument/2006/relationships/hyperlink" Target="https://property.sussexcountyde.gov/idoc_documents/230-16.00-7.04.pdf" TargetMode="External"/><Relationship Id="rId18" Type="http://schemas.openxmlformats.org/officeDocument/2006/relationships/hyperlink" Target="http://www.tax.co.ocean.nj.us/frmTaxBoardTaxListDetail?ID=99512" TargetMode="External"/><Relationship Id="rId26" Type="http://schemas.openxmlformats.org/officeDocument/2006/relationships/hyperlink" Target="http://www.tax.co.ocean.nj.us/frmTaxBoardTaxListDetail?ID=99520" TargetMode="External"/><Relationship Id="rId39" Type="http://schemas.openxmlformats.org/officeDocument/2006/relationships/comments" Target="../comments5.xml"/><Relationship Id="rId3" Type="http://schemas.openxmlformats.org/officeDocument/2006/relationships/hyperlink" Target="http://tax1.co.monmouth.nj.us/cgi-bin/m4.cgi?district=0604&amp;l02=060400059____00049_________M" TargetMode="External"/><Relationship Id="rId21" Type="http://schemas.openxmlformats.org/officeDocument/2006/relationships/hyperlink" Target="http://www.tax.co.ocean.nj.us/frmTaxBoardTaxListDetail?ID=99516" TargetMode="External"/><Relationship Id="rId34" Type="http://schemas.openxmlformats.org/officeDocument/2006/relationships/hyperlink" Target="http://www.tax.co.ocean.nj.us/frmTaxBoardTaxListDetail?ID=99517" TargetMode="External"/><Relationship Id="rId7" Type="http://schemas.openxmlformats.org/officeDocument/2006/relationships/hyperlink" Target="https://www.esf.edu/cclp/documents/GATE_CLR_Fort_Tilden_062013.pdf" TargetMode="External"/><Relationship Id="rId12" Type="http://schemas.openxmlformats.org/officeDocument/2006/relationships/hyperlink" Target="https://property.sussexcountyde.gov/idoc_documents/230-16.00-7.04.pdf" TargetMode="External"/><Relationship Id="rId17" Type="http://schemas.openxmlformats.org/officeDocument/2006/relationships/hyperlink" Target="http://www.tax.co.ocean.nj.us/frmTaxBoardTaxListDetail?ID=99514" TargetMode="External"/><Relationship Id="rId25" Type="http://schemas.openxmlformats.org/officeDocument/2006/relationships/hyperlink" Target="http://www.tax.co.ocean.nj.us/frmTaxBoardTaxListDetail?ID=99517" TargetMode="External"/><Relationship Id="rId33" Type="http://schemas.openxmlformats.org/officeDocument/2006/relationships/hyperlink" Target="http://www.tax.co.ocean.nj.us/frmTaxBoardTaxListDetail?ID=99517" TargetMode="External"/><Relationship Id="rId38" Type="http://schemas.openxmlformats.org/officeDocument/2006/relationships/vmlDrawing" Target="../drawings/vmlDrawing5.vml"/><Relationship Id="rId2" Type="http://schemas.openxmlformats.org/officeDocument/2006/relationships/hyperlink" Target="https://www.zillow.com/homedetails/30-Ocean-Ave-Monmouth-Beach-NJ-07750/39341990_zpid/" TargetMode="External"/><Relationship Id="rId16" Type="http://schemas.openxmlformats.org/officeDocument/2006/relationships/hyperlink" Target="https://sdat.dat.maryland.gov/RealProperty/Pages/default.aspx" TargetMode="External"/><Relationship Id="rId20" Type="http://schemas.openxmlformats.org/officeDocument/2006/relationships/hyperlink" Target="http://www.tax.co.ocean.nj.us/frmTaxBoardTaxListDetail?ID=99515" TargetMode="External"/><Relationship Id="rId29" Type="http://schemas.openxmlformats.org/officeDocument/2006/relationships/hyperlink" Target="http://www.tax.co.ocean.nj.us/frmTaxBoardTaxListDetail?ID=99520" TargetMode="External"/><Relationship Id="rId1" Type="http://schemas.openxmlformats.org/officeDocument/2006/relationships/hyperlink" Target="https://www.zillow.com/homedetails/159-Beach-149th-St-Far-Rockaway-NY-11694/32228993_zpid/" TargetMode="External"/><Relationship Id="rId6" Type="http://schemas.openxmlformats.org/officeDocument/2006/relationships/hyperlink" Target="https://www.esf.edu/cclp/documents/GATE_CLR_Fort_Tilden_062013.pdf" TargetMode="External"/><Relationship Id="rId11" Type="http://schemas.openxmlformats.org/officeDocument/2006/relationships/hyperlink" Target="https://property.sussexcountyde.gov/idoc_documents/230-16.00-7.04.pdf" TargetMode="External"/><Relationship Id="rId24" Type="http://schemas.openxmlformats.org/officeDocument/2006/relationships/hyperlink" Target="http://www.tax.co.ocean.nj.us/frmTaxBoardTaxListDetail?ID=99519" TargetMode="External"/><Relationship Id="rId32" Type="http://schemas.openxmlformats.org/officeDocument/2006/relationships/hyperlink" Target="https://property.sussexcountyde.gov/PT/datalets/datalet.aspx?mode=profileall&amp;sIndex=0&amp;idx=1&amp;LMparent=20" TargetMode="External"/><Relationship Id="rId37" Type="http://schemas.openxmlformats.org/officeDocument/2006/relationships/printerSettings" Target="../printerSettings/printerSettings6.bin"/><Relationship Id="rId5" Type="http://schemas.openxmlformats.org/officeDocument/2006/relationships/hyperlink" Target="https://www.esf.edu/cclp/documents/GATE_CLR_Fort_Tilden_062013.pdf" TargetMode="External"/><Relationship Id="rId15" Type="http://schemas.openxmlformats.org/officeDocument/2006/relationships/hyperlink" Target="https://sdat.dat.maryland.gov/RealProperty/Pages/default.aspx" TargetMode="External"/><Relationship Id="rId23" Type="http://schemas.openxmlformats.org/officeDocument/2006/relationships/hyperlink" Target="http://www.tax.co.ocean.nj.us/frmTaxBoardTaxListDetail?ID=99513" TargetMode="External"/><Relationship Id="rId28" Type="http://schemas.openxmlformats.org/officeDocument/2006/relationships/hyperlink" Target="http://www.tax.co.ocean.nj.us/frmTaxBoardTaxListDetail?ID=99519" TargetMode="External"/><Relationship Id="rId36" Type="http://schemas.openxmlformats.org/officeDocument/2006/relationships/hyperlink" Target="http://www.tax.co.ocean.nj.us/frmTaxBoardTaxListDetail?ID=99516" TargetMode="External"/><Relationship Id="rId10" Type="http://schemas.openxmlformats.org/officeDocument/2006/relationships/hyperlink" Target="https://property.sussexcountyde.gov/idoc_documents/230-16.00-7.04.pdf" TargetMode="External"/><Relationship Id="rId19" Type="http://schemas.openxmlformats.org/officeDocument/2006/relationships/hyperlink" Target="http://www.tax.co.ocean.nj.us/frmTaxBoardTaxListDetail?ID=99520" TargetMode="External"/><Relationship Id="rId31" Type="http://schemas.openxmlformats.org/officeDocument/2006/relationships/hyperlink" Target="http://www.tax.co.ocean.nj.us/frmTaxBoardTaxListDetail?ID=99519" TargetMode="External"/><Relationship Id="rId4" Type="http://schemas.openxmlformats.org/officeDocument/2006/relationships/hyperlink" Target="https://www.zillow.com/homedetails/24-Ocean-Ave-Monmouth-Beach-NJ-07750/39341995_zpid/" TargetMode="External"/><Relationship Id="rId9" Type="http://schemas.openxmlformats.org/officeDocument/2006/relationships/hyperlink" Target="https://property.sussexcountyde.gov/idoc_documents/230-16.00-7.04.pdf" TargetMode="External"/><Relationship Id="rId14" Type="http://schemas.openxmlformats.org/officeDocument/2006/relationships/hyperlink" Target="https://sdat.dat.maryland.gov/RealProperty/Pages/default.aspx" TargetMode="External"/><Relationship Id="rId22" Type="http://schemas.openxmlformats.org/officeDocument/2006/relationships/hyperlink" Target="http://www.tax.co.ocean.nj.us/frmTaxBoardTaxListDetail?ID=99518" TargetMode="External"/><Relationship Id="rId27" Type="http://schemas.openxmlformats.org/officeDocument/2006/relationships/hyperlink" Target="http://www.tax.co.ocean.nj.us/frmTaxBoardTaxListDetail?ID=99518" TargetMode="External"/><Relationship Id="rId30" Type="http://schemas.openxmlformats.org/officeDocument/2006/relationships/hyperlink" Target="http://www.tax.co.ocean.nj.us/frmTaxBoardTaxListDetail?ID=99518" TargetMode="External"/><Relationship Id="rId35" Type="http://schemas.openxmlformats.org/officeDocument/2006/relationships/hyperlink" Target="http://www.tax.co.ocean.nj.us/frmTaxBoardTaxListDetail?ID=99516"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tabSelected="1" workbookViewId="0">
      <selection activeCell="A37" sqref="A37"/>
    </sheetView>
  </sheetViews>
  <sheetFormatPr defaultRowHeight="15" x14ac:dyDescent="0.25"/>
  <cols>
    <col min="1" max="1" width="174.8554687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DFF"/>
  </sheetPr>
  <dimension ref="B2:Q18"/>
  <sheetViews>
    <sheetView zoomScale="130" zoomScaleNormal="130" workbookViewId="0">
      <selection activeCell="Q24" sqref="Q24"/>
    </sheetView>
  </sheetViews>
  <sheetFormatPr defaultRowHeight="15" x14ac:dyDescent="0.25"/>
  <cols>
    <col min="2" max="2" width="9.28515625" bestFit="1" customWidth="1"/>
    <col min="3" max="4" width="10.140625" bestFit="1" customWidth="1"/>
    <col min="6" max="7" width="9.28515625" bestFit="1" customWidth="1"/>
    <col min="8" max="8" width="10.140625" bestFit="1" customWidth="1"/>
  </cols>
  <sheetData>
    <row r="2" spans="2:17" x14ac:dyDescent="0.25">
      <c r="B2" t="s">
        <v>57</v>
      </c>
      <c r="F2" t="s">
        <v>58</v>
      </c>
    </row>
    <row r="3" spans="2:17" x14ac:dyDescent="0.25">
      <c r="B3" t="s">
        <v>54</v>
      </c>
      <c r="C3" t="s">
        <v>55</v>
      </c>
      <c r="D3" t="s">
        <v>56</v>
      </c>
      <c r="F3" t="s">
        <v>54</v>
      </c>
      <c r="G3" t="s">
        <v>55</v>
      </c>
      <c r="H3" t="s">
        <v>56</v>
      </c>
      <c r="Q3" s="17" t="s">
        <v>68</v>
      </c>
    </row>
    <row r="4" spans="2:17" x14ac:dyDescent="0.25">
      <c r="B4">
        <v>0.5</v>
      </c>
      <c r="C4">
        <f>1/20</f>
        <v>0.05</v>
      </c>
      <c r="D4">
        <v>0.01</v>
      </c>
      <c r="F4">
        <v>0.5</v>
      </c>
      <c r="G4">
        <f>1/20</f>
        <v>0.05</v>
      </c>
      <c r="H4">
        <v>0.01</v>
      </c>
    </row>
    <row r="5" spans="2:17" x14ac:dyDescent="0.25">
      <c r="B5" s="14">
        <f t="array" ref="B5">SUM(IF(ISNUMBER(#REF!)=TRUE,#REF!))</f>
        <v>0</v>
      </c>
      <c r="C5" s="14">
        <f t="array" ref="C5">SUM(IF(ISNUMBER(#REF!)=TRUE,#REF!))</f>
        <v>0</v>
      </c>
      <c r="D5" s="14">
        <f t="array" ref="D5">SUM(IF(ISNUMBER(#REF!)=TRUE,#REF!))</f>
        <v>0</v>
      </c>
      <c r="F5" s="14">
        <f t="array" ref="F5">SUM(IF(ISNUMBER(#REF!)=TRUE,#REF!))</f>
        <v>0</v>
      </c>
      <c r="G5" s="14">
        <f t="array" ref="G5">SUM(IF(ISNUMBER(#REF!)=TRUE,#REF!))</f>
        <v>0</v>
      </c>
      <c r="H5" s="14">
        <f t="array" ref="H5">SUM(IF(ISNUMBER(#REF!)=TRUE,#REF!))</f>
        <v>0</v>
      </c>
    </row>
    <row r="8" spans="2:17" x14ac:dyDescent="0.25">
      <c r="B8" t="s">
        <v>59</v>
      </c>
      <c r="F8" t="s">
        <v>59</v>
      </c>
    </row>
    <row r="9" spans="2:17" x14ac:dyDescent="0.25">
      <c r="B9" t="s">
        <v>60</v>
      </c>
      <c r="C9" s="16">
        <f>D4*D5</f>
        <v>0</v>
      </c>
      <c r="F9" t="s">
        <v>60</v>
      </c>
      <c r="G9" s="14">
        <f>H4*H5</f>
        <v>0</v>
      </c>
    </row>
    <row r="10" spans="2:17" x14ac:dyDescent="0.25">
      <c r="B10" t="s">
        <v>61</v>
      </c>
      <c r="C10" s="14">
        <f>(0.5)*(C4-D4)*(D5-C5)</f>
        <v>0</v>
      </c>
      <c r="F10" t="s">
        <v>61</v>
      </c>
      <c r="G10" s="14">
        <f>(0.5)*(G4-H4)*(H5-G5)</f>
        <v>0</v>
      </c>
    </row>
    <row r="11" spans="2:17" x14ac:dyDescent="0.25">
      <c r="B11" t="s">
        <v>62</v>
      </c>
      <c r="C11" s="16">
        <f>(C4-D4)*C5</f>
        <v>0</v>
      </c>
      <c r="F11" t="s">
        <v>62</v>
      </c>
      <c r="G11" s="14">
        <f>(G4-H4)*G5</f>
        <v>0</v>
      </c>
    </row>
    <row r="12" spans="2:17" x14ac:dyDescent="0.25">
      <c r="B12" t="s">
        <v>63</v>
      </c>
      <c r="C12" s="16">
        <f>(0.5)*(B4-C4)*(C5-B5)</f>
        <v>0</v>
      </c>
      <c r="F12" t="s">
        <v>63</v>
      </c>
      <c r="G12" s="14">
        <f>(0.5)*(F4-G4)*(G5-F5)</f>
        <v>0</v>
      </c>
    </row>
    <row r="13" spans="2:17" x14ac:dyDescent="0.25">
      <c r="B13" t="s">
        <v>64</v>
      </c>
      <c r="C13" s="16">
        <f>(B4-C4)*B5</f>
        <v>0</v>
      </c>
      <c r="F13" t="s">
        <v>64</v>
      </c>
      <c r="G13" s="14">
        <f>(F4-G4)*F5</f>
        <v>0</v>
      </c>
    </row>
    <row r="14" spans="2:17" x14ac:dyDescent="0.25">
      <c r="B14" t="s">
        <v>65</v>
      </c>
      <c r="C14" s="14">
        <f>SUM(C9:C13)</f>
        <v>0</v>
      </c>
      <c r="F14" t="s">
        <v>65</v>
      </c>
      <c r="G14" s="14">
        <f>SUM(G9:G13)</f>
        <v>0</v>
      </c>
    </row>
    <row r="17" spans="2:3" x14ac:dyDescent="0.25">
      <c r="B17" s="15" t="s">
        <v>66</v>
      </c>
      <c r="C17" s="14">
        <f>C14</f>
        <v>0</v>
      </c>
    </row>
    <row r="18" spans="2:3" x14ac:dyDescent="0.25">
      <c r="B18" s="15" t="s">
        <v>67</v>
      </c>
      <c r="C18" s="14">
        <f>G14</f>
        <v>0</v>
      </c>
    </row>
  </sheetData>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V46"/>
  <sheetViews>
    <sheetView zoomScale="90" zoomScaleNormal="90" workbookViewId="0">
      <pane xSplit="1" ySplit="9" topLeftCell="B10" activePane="bottomRight" state="frozen"/>
      <selection pane="topRight" activeCell="B1" sqref="B1"/>
      <selection pane="bottomLeft" activeCell="A10" sqref="A10"/>
      <selection pane="bottomRight" activeCell="J22" sqref="J22"/>
    </sheetView>
  </sheetViews>
  <sheetFormatPr defaultRowHeight="15" x14ac:dyDescent="0.25"/>
  <cols>
    <col min="1" max="1" width="14" customWidth="1"/>
    <col min="14" max="14" width="20.5703125" customWidth="1"/>
    <col min="15" max="15" width="16" customWidth="1"/>
    <col min="16" max="16" width="17.42578125" customWidth="1"/>
    <col min="17" max="17" width="13.5703125" customWidth="1"/>
    <col min="18" max="20" width="15" customWidth="1"/>
    <col min="21" max="22" width="13" customWidth="1"/>
  </cols>
  <sheetData>
    <row r="7" spans="1:22" x14ac:dyDescent="0.25">
      <c r="B7">
        <v>1</v>
      </c>
      <c r="D7">
        <v>2</v>
      </c>
      <c r="F7">
        <v>3</v>
      </c>
      <c r="H7">
        <v>4</v>
      </c>
      <c r="J7">
        <v>5</v>
      </c>
      <c r="L7">
        <v>6</v>
      </c>
      <c r="N7">
        <v>8</v>
      </c>
      <c r="O7">
        <v>9</v>
      </c>
      <c r="P7">
        <v>10</v>
      </c>
      <c r="Q7">
        <v>11</v>
      </c>
      <c r="S7">
        <v>12</v>
      </c>
      <c r="U7">
        <v>21</v>
      </c>
    </row>
    <row r="8" spans="1:22" ht="102.75" customHeight="1" x14ac:dyDescent="0.25">
      <c r="B8" s="107" t="s">
        <v>327</v>
      </c>
      <c r="C8" s="107"/>
      <c r="D8" s="107" t="s">
        <v>328</v>
      </c>
      <c r="E8" s="107"/>
      <c r="F8" s="105" t="s">
        <v>329</v>
      </c>
      <c r="G8" s="105"/>
      <c r="H8" s="105" t="s">
        <v>330</v>
      </c>
      <c r="I8" s="105"/>
      <c r="J8" s="105" t="s">
        <v>331</v>
      </c>
      <c r="K8" s="105"/>
      <c r="L8" s="105" t="s">
        <v>332</v>
      </c>
      <c r="M8" s="105"/>
      <c r="N8" s="84" t="s">
        <v>335</v>
      </c>
      <c r="O8" s="84" t="s">
        <v>336</v>
      </c>
      <c r="P8" s="86" t="s">
        <v>337</v>
      </c>
      <c r="Q8" s="105" t="s">
        <v>338</v>
      </c>
      <c r="R8" s="105"/>
      <c r="S8" s="106" t="s">
        <v>339</v>
      </c>
      <c r="T8" s="106"/>
      <c r="U8" s="104" t="s">
        <v>371</v>
      </c>
      <c r="V8" s="104"/>
    </row>
    <row r="9" spans="1:22" ht="15" customHeight="1" x14ac:dyDescent="0.25">
      <c r="A9" s="1" t="s">
        <v>70</v>
      </c>
      <c r="B9" s="85" t="s">
        <v>333</v>
      </c>
      <c r="C9" s="85" t="s">
        <v>334</v>
      </c>
      <c r="D9" s="85" t="s">
        <v>333</v>
      </c>
      <c r="E9" s="85" t="s">
        <v>334</v>
      </c>
      <c r="F9" s="85" t="s">
        <v>333</v>
      </c>
      <c r="G9" s="85" t="s">
        <v>334</v>
      </c>
      <c r="H9" s="85" t="s">
        <v>333</v>
      </c>
      <c r="I9" s="85" t="s">
        <v>334</v>
      </c>
      <c r="J9" s="85" t="s">
        <v>333</v>
      </c>
      <c r="K9" s="85" t="s">
        <v>334</v>
      </c>
      <c r="L9" s="85" t="s">
        <v>333</v>
      </c>
      <c r="M9" s="85" t="s">
        <v>334</v>
      </c>
      <c r="N9" s="85" t="s">
        <v>340</v>
      </c>
      <c r="O9" s="85" t="s">
        <v>340</v>
      </c>
      <c r="P9" s="85" t="s">
        <v>340</v>
      </c>
      <c r="Q9" s="85" t="s">
        <v>333</v>
      </c>
      <c r="R9" s="85" t="s">
        <v>334</v>
      </c>
      <c r="S9" s="85" t="s">
        <v>333</v>
      </c>
      <c r="T9" s="85" t="s">
        <v>334</v>
      </c>
      <c r="U9" s="85" t="s">
        <v>333</v>
      </c>
      <c r="V9" s="85" t="s">
        <v>334</v>
      </c>
    </row>
    <row r="10" spans="1:22" x14ac:dyDescent="0.25">
      <c r="A10" t="s">
        <v>290</v>
      </c>
      <c r="J10" t="str">
        <f>IF(ISNUMBER(VLOOKUP($A10,Metric5ByProject!$A$11:$K$66,11,FALSE))=TRUE,VLOOKUP($A10,Metric5ByProject!$A$11:$K$66,11,FALSE),"")</f>
        <v/>
      </c>
      <c r="K10" t="str">
        <f>IF(ISNUMBER(VLOOKUP($A10,Metric5ByProject!$A$11:$T$66,20,FALSE))=TRUE,VLOOKUP($A10,Metric5ByProject!$A$11:$T$66,20,FALSE),"")</f>
        <v/>
      </c>
      <c r="O10" t="str">
        <f>IF(ISNUMBER(VLOOKUP($A10,Metric9ByProject!$A$11:$T$79,20,FALSE))=TRUE,VLOOKUP($A10,Metric9ByProject!$A$11:$T$79,20,FALSE),"")</f>
        <v/>
      </c>
      <c r="Q10" s="29" t="str">
        <f>IF(ISNUMBER(VLOOKUP($A10,Metric11!$A$11:$J$60,10,FALSE)),VLOOKUP($A10,Metric11!$A$11:$J$60,10,FALSE),"")</f>
        <v/>
      </c>
      <c r="R10" s="29" t="str">
        <f>IF(ISNUMBER(VLOOKUP($A10,Metric11!$A$11:$S$60,19,FALSE)),VLOOKUP($A10,Metric11!$A$11:$S$60,19,FALSE),"")</f>
        <v/>
      </c>
      <c r="U10" t="str">
        <f>IF(ISNUMBER(VLOOKUP($A10,Metric21!$A$11:$K$29,11,FALSE)),VLOOKUP($A10,Metric21!$A$11:$K$29,11,FALSE),"")</f>
        <v/>
      </c>
      <c r="V10" t="str">
        <f>IF(ISNUMBER(VLOOKUP($A10,Metric21!$A$11:$T$29,20,FALSE)),VLOOKUP($A10,Metric21!$A$11:$T$29,20,FALSE),"")</f>
        <v/>
      </c>
    </row>
    <row r="11" spans="1:22" x14ac:dyDescent="0.25">
      <c r="A11" t="s">
        <v>291</v>
      </c>
      <c r="J11" t="str">
        <f>IF(ISNUMBER(VLOOKUP($A11,Metric5ByProject!$A$11:$K$66,11,FALSE))=TRUE,VLOOKUP($A11,Metric5ByProject!$A$11:$K$66,11,FALSE),"")</f>
        <v/>
      </c>
      <c r="K11" t="str">
        <f>IF(ISNUMBER(VLOOKUP($A11,Metric5ByProject!$A$11:$T$66,20,FALSE))=TRUE,VLOOKUP($A11,Metric5ByProject!$A$11:$T$66,20,FALSE),"")</f>
        <v/>
      </c>
      <c r="O11" t="str">
        <f>IF(ISNUMBER(VLOOKUP($A11,Metric9ByProject!$A$11:$T$79,20,FALSE))=TRUE,VLOOKUP($A11,Metric9ByProject!$A$11:$T$79,20,FALSE),"")</f>
        <v/>
      </c>
      <c r="Q11" s="29" t="str">
        <f>IF(ISNUMBER(VLOOKUP($A11,Metric11!$A$11:$J$60,10,FALSE)),VLOOKUP($A11,Metric11!$A$11:$J$60,10,FALSE),"")</f>
        <v/>
      </c>
      <c r="R11" s="29" t="str">
        <f>IF(ISNUMBER(VLOOKUP($A11,Metric11!$A$11:$S$60,19,FALSE)),VLOOKUP($A11,Metric11!$A$11:$S$60,19,FALSE),"")</f>
        <v/>
      </c>
      <c r="U11" t="str">
        <f>IF(ISNUMBER(VLOOKUP($A11,Metric21!$A$11:$K$29,11,FALSE)),VLOOKUP($A11,Metric21!$A$11:$K$29,11,FALSE),"")</f>
        <v/>
      </c>
      <c r="V11" t="str">
        <f>IF(ISNUMBER(VLOOKUP($A11,Metric21!$A$11:$T$29,20,FALSE)),VLOOKUP($A11,Metric21!$A$11:$T$29,20,FALSE),"")</f>
        <v/>
      </c>
    </row>
    <row r="12" spans="1:22" x14ac:dyDescent="0.25">
      <c r="A12" t="s">
        <v>292</v>
      </c>
      <c r="J12" t="str">
        <f>IF(ISNUMBER(VLOOKUP($A12,Metric5ByProject!$A$11:$K$66,11,FALSE))=TRUE,VLOOKUP($A12,Metric5ByProject!$A$11:$K$66,11,FALSE),"")</f>
        <v/>
      </c>
      <c r="K12" t="str">
        <f>IF(ISNUMBER(VLOOKUP($A12,Metric5ByProject!$A$11:$T$66,20,FALSE))=TRUE,VLOOKUP($A12,Metric5ByProject!$A$11:$T$66,20,FALSE),"")</f>
        <v/>
      </c>
      <c r="O12" t="str">
        <f>IF(ISNUMBER(VLOOKUP($A12,Metric9ByProject!$A$11:$T$79,20,FALSE))=TRUE,VLOOKUP($A12,Metric9ByProject!$A$11:$T$79,20,FALSE),"")</f>
        <v/>
      </c>
      <c r="Q12" s="29" t="str">
        <f>IF(ISNUMBER(VLOOKUP($A12,Metric11!$A$11:$J$60,10,FALSE)),VLOOKUP($A12,Metric11!$A$11:$J$60,10,FALSE),"")</f>
        <v/>
      </c>
      <c r="R12" s="29" t="str">
        <f>IF(ISNUMBER(VLOOKUP($A12,Metric11!$A$11:$S$60,19,FALSE)),VLOOKUP($A12,Metric11!$A$11:$S$60,19,FALSE),"")</f>
        <v/>
      </c>
      <c r="U12" t="str">
        <f>IF(ISNUMBER(VLOOKUP($A12,Metric21!$A$11:$K$29,11,FALSE)),VLOOKUP($A12,Metric21!$A$11:$K$29,11,FALSE),"")</f>
        <v/>
      </c>
      <c r="V12" t="str">
        <f>IF(ISNUMBER(VLOOKUP($A12,Metric21!$A$11:$T$29,20,FALSE)),VLOOKUP($A12,Metric21!$A$11:$T$29,20,FALSE),"")</f>
        <v/>
      </c>
    </row>
    <row r="13" spans="1:22" x14ac:dyDescent="0.25">
      <c r="A13" t="s">
        <v>293</v>
      </c>
      <c r="J13" t="str">
        <f>IF(ISNUMBER(VLOOKUP($A13,Metric5ByProject!$A$11:$K$66,11,FALSE))=TRUE,VLOOKUP($A13,Metric5ByProject!$A$11:$K$66,11,FALSE),"")</f>
        <v/>
      </c>
      <c r="K13" t="str">
        <f>IF(ISNUMBER(VLOOKUP($A13,Metric5ByProject!$A$11:$T$66,20,FALSE))=TRUE,VLOOKUP($A13,Metric5ByProject!$A$11:$T$66,20,FALSE),"")</f>
        <v/>
      </c>
      <c r="O13" t="str">
        <f>IF(ISNUMBER(VLOOKUP($A13,Metric9ByProject!$A$11:$T$79,20,FALSE))=TRUE,VLOOKUP($A13,Metric9ByProject!$A$11:$T$79,20,FALSE),"")</f>
        <v/>
      </c>
      <c r="Q13" s="29" t="str">
        <f>IF(ISNUMBER(VLOOKUP($A13,Metric11!$A$11:$J$60,10,FALSE)),VLOOKUP($A13,Metric11!$A$11:$J$60,10,FALSE),"")</f>
        <v/>
      </c>
      <c r="R13" s="29" t="str">
        <f>IF(ISNUMBER(VLOOKUP($A13,Metric11!$A$11:$S$60,19,FALSE)),VLOOKUP($A13,Metric11!$A$11:$S$60,19,FALSE),"")</f>
        <v/>
      </c>
      <c r="U13" t="str">
        <f>IF(ISNUMBER(VLOOKUP($A13,Metric21!$A$11:$K$29,11,FALSE)),VLOOKUP($A13,Metric21!$A$11:$K$29,11,FALSE),"")</f>
        <v/>
      </c>
      <c r="V13" t="str">
        <f>IF(ISNUMBER(VLOOKUP($A13,Metric21!$A$11:$T$29,20,FALSE)),VLOOKUP($A13,Metric21!$A$11:$T$29,20,FALSE),"")</f>
        <v/>
      </c>
    </row>
    <row r="14" spans="1:22" x14ac:dyDescent="0.25">
      <c r="A14" t="s">
        <v>294</v>
      </c>
      <c r="J14" t="str">
        <f>IF(ISNUMBER(VLOOKUP($A14,Metric5ByProject!$A$11:$K$66,11,FALSE))=TRUE,VLOOKUP($A14,Metric5ByProject!$A$11:$K$66,11,FALSE),"")</f>
        <v/>
      </c>
      <c r="K14" t="str">
        <f>IF(ISNUMBER(VLOOKUP($A14,Metric5ByProject!$A$11:$T$66,20,FALSE))=TRUE,VLOOKUP($A14,Metric5ByProject!$A$11:$T$66,20,FALSE),"")</f>
        <v/>
      </c>
      <c r="O14" t="str">
        <f>IF(ISNUMBER(VLOOKUP($A14,Metric9ByProject!$A$11:$T$79,20,FALSE))=TRUE,VLOOKUP($A14,Metric9ByProject!$A$11:$T$79,20,FALSE),"")</f>
        <v/>
      </c>
      <c r="Q14" s="29" t="str">
        <f>IF(ISNUMBER(VLOOKUP($A14,Metric11!$A$11:$J$60,10,FALSE)),VLOOKUP($A14,Metric11!$A$11:$J$60,10,FALSE),"")</f>
        <v/>
      </c>
      <c r="R14" s="29" t="str">
        <f>IF(ISNUMBER(VLOOKUP($A14,Metric11!$A$11:$S$60,19,FALSE)),VLOOKUP($A14,Metric11!$A$11:$S$60,19,FALSE),"")</f>
        <v/>
      </c>
      <c r="U14" t="str">
        <f>IF(ISNUMBER(VLOOKUP($A14,Metric21!$A$11:$K$29,11,FALSE)),VLOOKUP($A14,Metric21!$A$11:$K$29,11,FALSE),"")</f>
        <v/>
      </c>
      <c r="V14" t="str">
        <f>IF(ISNUMBER(VLOOKUP($A14,Metric21!$A$11:$T$29,20,FALSE)),VLOOKUP($A14,Metric21!$A$11:$T$29,20,FALSE),"")</f>
        <v/>
      </c>
    </row>
    <row r="15" spans="1:22" x14ac:dyDescent="0.25">
      <c r="A15" t="s">
        <v>295</v>
      </c>
      <c r="J15" t="str">
        <f>IF(ISNUMBER(VLOOKUP($A15,Metric5ByProject!$A$11:$K$66,11,FALSE))=TRUE,VLOOKUP($A15,Metric5ByProject!$A$11:$K$66,11,FALSE),"")</f>
        <v/>
      </c>
      <c r="K15" t="str">
        <f>IF(ISNUMBER(VLOOKUP($A15,Metric5ByProject!$A$11:$T$66,20,FALSE))=TRUE,VLOOKUP($A15,Metric5ByProject!$A$11:$T$66,20,FALSE),"")</f>
        <v/>
      </c>
      <c r="O15" t="str">
        <f>IF(ISNUMBER(VLOOKUP($A15,Metric9ByProject!$A$11:$T$79,20,FALSE))=TRUE,VLOOKUP($A15,Metric9ByProject!$A$11:$T$79,20,FALSE),"")</f>
        <v/>
      </c>
      <c r="Q15" s="29" t="str">
        <f>IF(ISNUMBER(VLOOKUP($A15,Metric11!$A$11:$J$60,10,FALSE)),VLOOKUP($A15,Metric11!$A$11:$J$60,10,FALSE),"")</f>
        <v/>
      </c>
      <c r="R15" s="29" t="str">
        <f>IF(ISNUMBER(VLOOKUP($A15,Metric11!$A$11:$S$60,19,FALSE)),VLOOKUP($A15,Metric11!$A$11:$S$60,19,FALSE),"")</f>
        <v/>
      </c>
      <c r="U15" t="str">
        <f>IF(ISNUMBER(VLOOKUP($A15,Metric21!$A$11:$K$29,11,FALSE)),VLOOKUP($A15,Metric21!$A$11:$K$29,11,FALSE),"")</f>
        <v/>
      </c>
      <c r="V15" t="str">
        <f>IF(ISNUMBER(VLOOKUP($A15,Metric21!$A$11:$T$29,20,FALSE)),VLOOKUP($A15,Metric21!$A$11:$T$29,20,FALSE),"")</f>
        <v/>
      </c>
    </row>
    <row r="16" spans="1:22" x14ac:dyDescent="0.25">
      <c r="A16" t="s">
        <v>296</v>
      </c>
      <c r="J16" t="str">
        <f>IF(ISNUMBER(VLOOKUP($A16,Metric5ByProject!$A$11:$K$66,11,FALSE))=TRUE,VLOOKUP($A16,Metric5ByProject!$A$11:$K$66,11,FALSE),"")</f>
        <v/>
      </c>
      <c r="K16" t="str">
        <f>IF(ISNUMBER(VLOOKUP($A16,Metric5ByProject!$A$11:$T$66,20,FALSE))=TRUE,VLOOKUP($A16,Metric5ByProject!$A$11:$T$66,20,FALSE),"")</f>
        <v/>
      </c>
      <c r="O16" t="str">
        <f>IF(ISNUMBER(VLOOKUP($A16,Metric9ByProject!$A$11:$T$79,20,FALSE))=TRUE,VLOOKUP($A16,Metric9ByProject!$A$11:$T$79,20,FALSE),"")</f>
        <v/>
      </c>
      <c r="Q16" s="29" t="str">
        <f>IF(ISNUMBER(VLOOKUP($A16,Metric11!$A$11:$J$60,10,FALSE)),VLOOKUP($A16,Metric11!$A$11:$J$60,10,FALSE),"")</f>
        <v/>
      </c>
      <c r="R16" s="29" t="str">
        <f>IF(ISNUMBER(VLOOKUP($A16,Metric11!$A$11:$S$60,19,FALSE)),VLOOKUP($A16,Metric11!$A$11:$S$60,19,FALSE),"")</f>
        <v/>
      </c>
      <c r="U16" t="str">
        <f>IF(ISNUMBER(VLOOKUP($A16,Metric21!$A$11:$K$29,11,FALSE)),VLOOKUP($A16,Metric21!$A$11:$K$29,11,FALSE),"")</f>
        <v/>
      </c>
      <c r="V16" t="str">
        <f>IF(ISNUMBER(VLOOKUP($A16,Metric21!$A$11:$T$29,20,FALSE)),VLOOKUP($A16,Metric21!$A$11:$T$29,20,FALSE),"")</f>
        <v/>
      </c>
    </row>
    <row r="17" spans="1:22" x14ac:dyDescent="0.25">
      <c r="A17" t="s">
        <v>297</v>
      </c>
      <c r="J17" t="str">
        <f>IF(ISNUMBER(VLOOKUP($A17,Metric5ByProject!$A$11:$K$66,11,FALSE))=TRUE,VLOOKUP($A17,Metric5ByProject!$A$11:$K$66,11,FALSE),"")</f>
        <v/>
      </c>
      <c r="K17" t="str">
        <f>IF(ISNUMBER(VLOOKUP($A17,Metric5ByProject!$A$11:$T$66,20,FALSE))=TRUE,VLOOKUP($A17,Metric5ByProject!$A$11:$T$66,20,FALSE),"")</f>
        <v/>
      </c>
      <c r="O17" t="str">
        <f>IF(ISNUMBER(VLOOKUP($A17,Metric9ByProject!$A$11:$T$79,20,FALSE))=TRUE,VLOOKUP($A17,Metric9ByProject!$A$11:$T$79,20,FALSE),"")</f>
        <v/>
      </c>
      <c r="Q17" s="29" t="str">
        <f>IF(ISNUMBER(VLOOKUP($A17,Metric11!$A$11:$J$60,10,FALSE)),VLOOKUP($A17,Metric11!$A$11:$J$60,10,FALSE),"")</f>
        <v/>
      </c>
      <c r="R17" s="29" t="str">
        <f>IF(ISNUMBER(VLOOKUP($A17,Metric11!$A$11:$S$60,19,FALSE)),VLOOKUP($A17,Metric11!$A$11:$S$60,19,FALSE),"")</f>
        <v/>
      </c>
      <c r="U17" t="str">
        <f>IF(ISNUMBER(VLOOKUP($A17,Metric21!$A$11:$K$29,11,FALSE)),VLOOKUP($A17,Metric21!$A$11:$K$29,11,FALSE),"")</f>
        <v/>
      </c>
      <c r="V17" t="str">
        <f>IF(ISNUMBER(VLOOKUP($A17,Metric21!$A$11:$T$29,20,FALSE)),VLOOKUP($A17,Metric21!$A$11:$T$29,20,FALSE),"")</f>
        <v/>
      </c>
    </row>
    <row r="18" spans="1:22" x14ac:dyDescent="0.25">
      <c r="A18" t="s">
        <v>298</v>
      </c>
      <c r="J18" t="str">
        <f>IF(ISNUMBER(VLOOKUP($A18,Metric5ByProject!$A$11:$K$66,11,FALSE))=TRUE,VLOOKUP($A18,Metric5ByProject!$A$11:$K$66,11,FALSE),"")</f>
        <v/>
      </c>
      <c r="K18" t="str">
        <f>IF(ISNUMBER(VLOOKUP($A18,Metric5ByProject!$A$11:$T$66,20,FALSE))=TRUE,VLOOKUP($A18,Metric5ByProject!$A$11:$T$66,20,FALSE),"")</f>
        <v/>
      </c>
      <c r="O18" t="str">
        <f>IF(ISNUMBER(VLOOKUP($A18,Metric9ByProject!$A$11:$T$79,20,FALSE))=TRUE,VLOOKUP($A18,Metric9ByProject!$A$11:$T$79,20,FALSE),"")</f>
        <v/>
      </c>
      <c r="Q18" s="29" t="str">
        <f>IF(ISNUMBER(VLOOKUP($A18,Metric11!$A$11:$J$60,10,FALSE)),VLOOKUP($A18,Metric11!$A$11:$J$60,10,FALSE),"")</f>
        <v/>
      </c>
      <c r="R18" s="29" t="str">
        <f>IF(ISNUMBER(VLOOKUP($A18,Metric11!$A$11:$S$60,19,FALSE)),VLOOKUP($A18,Metric11!$A$11:$S$60,19,FALSE),"")</f>
        <v/>
      </c>
      <c r="U18" t="str">
        <f>IF(ISNUMBER(VLOOKUP($A18,Metric21!$A$11:$K$29,11,FALSE)),VLOOKUP($A18,Metric21!$A$11:$K$29,11,FALSE),"")</f>
        <v/>
      </c>
      <c r="V18" t="str">
        <f>IF(ISNUMBER(VLOOKUP($A18,Metric21!$A$11:$T$29,20,FALSE)),VLOOKUP($A18,Metric21!$A$11:$T$29,20,FALSE),"")</f>
        <v/>
      </c>
    </row>
    <row r="19" spans="1:22" x14ac:dyDescent="0.25">
      <c r="A19" t="s">
        <v>299</v>
      </c>
      <c r="J19" t="str">
        <f>IF(ISNUMBER(VLOOKUP($A19,Metric5ByProject!$A$11:$K$66,11,FALSE))=TRUE,VLOOKUP($A19,Metric5ByProject!$A$11:$K$66,11,FALSE),"")</f>
        <v/>
      </c>
      <c r="K19" t="str">
        <f>IF(ISNUMBER(VLOOKUP($A19,Metric5ByProject!$A$11:$T$66,20,FALSE))=TRUE,VLOOKUP($A19,Metric5ByProject!$A$11:$T$66,20,FALSE),"")</f>
        <v/>
      </c>
      <c r="O19" t="str">
        <f>IF(ISNUMBER(VLOOKUP($A19,Metric9ByProject!$A$11:$T$79,20,FALSE))=TRUE,VLOOKUP($A19,Metric9ByProject!$A$11:$T$79,20,FALSE),"")</f>
        <v/>
      </c>
      <c r="Q19" s="29" t="str">
        <f>IF(ISNUMBER(VLOOKUP($A19,Metric11!$A$11:$J$60,10,FALSE)),VLOOKUP($A19,Metric11!$A$11:$J$60,10,FALSE),"")</f>
        <v/>
      </c>
      <c r="R19" s="29" t="str">
        <f>IF(ISNUMBER(VLOOKUP($A19,Metric11!$A$11:$S$60,19,FALSE)),VLOOKUP($A19,Metric11!$A$11:$S$60,19,FALSE),"")</f>
        <v/>
      </c>
      <c r="U19" t="str">
        <f>IF(ISNUMBER(VLOOKUP($A19,Metric21!$A$11:$K$29,11,FALSE)),VLOOKUP($A19,Metric21!$A$11:$K$29,11,FALSE),"")</f>
        <v/>
      </c>
      <c r="V19" t="str">
        <f>IF(ISNUMBER(VLOOKUP($A19,Metric21!$A$11:$T$29,20,FALSE)),VLOOKUP($A19,Metric21!$A$11:$T$29,20,FALSE),"")</f>
        <v/>
      </c>
    </row>
    <row r="20" spans="1:22" x14ac:dyDescent="0.25">
      <c r="A20" t="s">
        <v>300</v>
      </c>
      <c r="J20">
        <f>IF(ISNUMBER(VLOOKUP($A20,Metric5ByProject!$A$11:$K$66,11,FALSE))=TRUE,VLOOKUP($A20,Metric5ByProject!$A$11:$K$66,11,FALSE),"")</f>
        <v>0.06</v>
      </c>
      <c r="K20">
        <f>IF(ISNUMBER(VLOOKUP($A20,Metric5ByProject!$A$11:$T$66,20,FALSE))=TRUE,VLOOKUP($A20,Metric5ByProject!$A$11:$T$66,20,FALSE),"")</f>
        <v>0.06</v>
      </c>
      <c r="O20" s="29">
        <f ca="1">IF(ISNUMBER(VLOOKUP($A20,Metric9ByProject!$A$11:$T$79,20,FALSE))=TRUE,VLOOKUP($A20,Metric9ByProject!$A$11:$T$79,20,FALSE),"")</f>
        <v>1464.5598904439089</v>
      </c>
      <c r="Q20" s="29">
        <f>IF(ISNUMBER(VLOOKUP($A20,Metric11!$A$11:$J$60,10,FALSE)),VLOOKUP($A20,Metric11!$A$11:$J$60,10,FALSE),"")</f>
        <v>4.2686974498200001E-5</v>
      </c>
      <c r="R20" s="29">
        <f>IF(ISNUMBER(VLOOKUP($A20,Metric11!$A$11:$S$60,19,FALSE)),VLOOKUP($A20,Metric11!$A$11:$S$60,19,FALSE),"")</f>
        <v>4.2686974498200001E-5</v>
      </c>
      <c r="U20">
        <f>IF(ISNUMBER(VLOOKUP($A20,Metric21!$A$11:$K$29,11,FALSE)),VLOOKUP($A20,Metric21!$A$11:$K$29,11,FALSE),"")</f>
        <v>0</v>
      </c>
      <c r="V20">
        <f>IF(ISNUMBER(VLOOKUP($A20,Metric21!$A$11:$T$29,20,FALSE)),VLOOKUP($A20,Metric21!$A$11:$T$29,20,FALSE),"")</f>
        <v>0</v>
      </c>
    </row>
    <row r="21" spans="1:22" x14ac:dyDescent="0.25">
      <c r="A21" t="s">
        <v>301</v>
      </c>
      <c r="J21">
        <f>IF(ISNUMBER(VLOOKUP($A21,Metric5ByProject!$A$11:$K$66,11,FALSE))=TRUE,VLOOKUP($A21,Metric5ByProject!$A$11:$K$66,11,FALSE),"")</f>
        <v>0.82500000000000007</v>
      </c>
      <c r="K21">
        <f>IF(ISNUMBER(VLOOKUP($A21,Metric5ByProject!$A$11:$T$66,20,FALSE))=TRUE,VLOOKUP($A21,Metric5ByProject!$A$11:$T$66,20,FALSE),"")</f>
        <v>0.82500000000000007</v>
      </c>
      <c r="O21" s="29">
        <f ca="1">IF(ISNUMBER(VLOOKUP($A21,Metric9ByProject!$A$11:$T$79,20,FALSE))=TRUE,VLOOKUP($A21,Metric9ByProject!$A$11:$T$79,20,FALSE),"")</f>
        <v>3034.0599087754581</v>
      </c>
      <c r="Q21" s="29">
        <f>IF(ISNUMBER(VLOOKUP($A21,Metric11!$A$11:$J$60,10,FALSE)),VLOOKUP($A21,Metric11!$A$11:$J$60,10,FALSE),"")</f>
        <v>0.26996946733106375</v>
      </c>
      <c r="R21" s="29">
        <f>IF(ISNUMBER(VLOOKUP($A21,Metric11!$A$11:$S$60,19,FALSE)),VLOOKUP($A21,Metric11!$A$11:$S$60,19,FALSE),"")</f>
        <v>0.26540827558968877</v>
      </c>
      <c r="U21">
        <f>IF(ISNUMBER(VLOOKUP($A21,Metric21!$A$11:$K$29,11,FALSE)),VLOOKUP($A21,Metric21!$A$11:$K$29,11,FALSE),"")</f>
        <v>0</v>
      </c>
      <c r="V21">
        <f>IF(ISNUMBER(VLOOKUP($A21,Metric21!$A$11:$T$29,20,FALSE)),VLOOKUP($A21,Metric21!$A$11:$T$29,20,FALSE),"")</f>
        <v>0</v>
      </c>
    </row>
    <row r="22" spans="1:22" x14ac:dyDescent="0.25">
      <c r="A22" t="s">
        <v>302</v>
      </c>
      <c r="J22" t="str">
        <f>IF(ISNUMBER(VLOOKUP($A22,Metric5ByProject!$A$11:$K$66,11,FALSE))=TRUE,VLOOKUP($A22,Metric5ByProject!$A$11:$K$66,11,FALSE),"")</f>
        <v/>
      </c>
      <c r="K22" t="str">
        <f>IF(ISNUMBER(VLOOKUP($A22,Metric5ByProject!$A$11:$T$66,20,FALSE))=TRUE,VLOOKUP($A22,Metric5ByProject!$A$11:$T$66,20,FALSE),"")</f>
        <v/>
      </c>
      <c r="O22" s="29" t="str">
        <f>IF(ISNUMBER(VLOOKUP($A22,Metric9ByProject!$A$11:$T$79,20,FALSE))=TRUE,VLOOKUP($A22,Metric9ByProject!$A$11:$T$79,20,FALSE),"")</f>
        <v/>
      </c>
      <c r="Q22" s="29" t="str">
        <f>IF(ISNUMBER(VLOOKUP($A22,Metric11!$A$11:$J$60,10,FALSE)),VLOOKUP($A22,Metric11!$A$11:$J$60,10,FALSE),"")</f>
        <v/>
      </c>
      <c r="R22" s="29" t="str">
        <f>IF(ISNUMBER(VLOOKUP($A22,Metric11!$A$11:$S$60,19,FALSE)),VLOOKUP($A22,Metric11!$A$11:$S$60,19,FALSE),"")</f>
        <v/>
      </c>
      <c r="U22" t="str">
        <f>IF(ISNUMBER(VLOOKUP($A22,Metric21!$A$11:$K$29,11,FALSE)),VLOOKUP($A22,Metric21!$A$11:$K$29,11,FALSE),"")</f>
        <v/>
      </c>
      <c r="V22" t="str">
        <f>IF(ISNUMBER(VLOOKUP($A22,Metric21!$A$11:$T$29,20,FALSE)),VLOOKUP($A22,Metric21!$A$11:$T$29,20,FALSE),"")</f>
        <v/>
      </c>
    </row>
    <row r="23" spans="1:22" x14ac:dyDescent="0.25">
      <c r="A23" t="s">
        <v>303</v>
      </c>
      <c r="J23">
        <f>IF(ISNUMBER(VLOOKUP($A23,Metric5ByProject!$A$11:$K$66,11,FALSE))=TRUE,VLOOKUP($A23,Metric5ByProject!$A$11:$K$66,11,FALSE),"")</f>
        <v>1.4100000000000001</v>
      </c>
      <c r="K23">
        <f>IF(ISNUMBER(VLOOKUP($A23,Metric5ByProject!$A$11:$T$66,20,FALSE))=TRUE,VLOOKUP($A23,Metric5ByProject!$A$11:$T$66,20,FALSE),"")</f>
        <v>1.4100000000000001</v>
      </c>
      <c r="O23" s="29">
        <f ca="1">IF(ISNUMBER(VLOOKUP($A23,Metric9ByProject!$A$11:$T$79,20,FALSE))=TRUE,VLOOKUP($A23,Metric9ByProject!$A$11:$T$79,20,FALSE),"")</f>
        <v>38869.414750775257</v>
      </c>
      <c r="Q23" s="29">
        <f>IF(ISNUMBER(VLOOKUP($A23,Metric11!$A$11:$J$60,10,FALSE)),VLOOKUP($A23,Metric11!$A$11:$J$60,10,FALSE),"")</f>
        <v>8.1635190784499989E-2</v>
      </c>
      <c r="R23" s="29">
        <f>IF(ISNUMBER(VLOOKUP($A23,Metric11!$A$11:$S$60,19,FALSE)),VLOOKUP($A23,Metric11!$A$11:$S$60,19,FALSE),"")</f>
        <v>7.5035000000000004E-2</v>
      </c>
      <c r="U23">
        <f>IF(ISNUMBER(VLOOKUP($A23,Metric21!$A$11:$K$29,11,FALSE)),VLOOKUP($A23,Metric21!$A$11:$K$29,11,FALSE),"")</f>
        <v>0</v>
      </c>
      <c r="V23">
        <f>IF(ISNUMBER(VLOOKUP($A23,Metric21!$A$11:$T$29,20,FALSE)),VLOOKUP($A23,Metric21!$A$11:$T$29,20,FALSE),"")</f>
        <v>0</v>
      </c>
    </row>
    <row r="24" spans="1:22" x14ac:dyDescent="0.25">
      <c r="A24" t="s">
        <v>304</v>
      </c>
      <c r="J24">
        <f>IF(ISNUMBER(VLOOKUP($A24,Metric5ByProject!$A$11:$K$66,11,FALSE))=TRUE,VLOOKUP($A24,Metric5ByProject!$A$11:$K$66,11,FALSE),"")</f>
        <v>6</v>
      </c>
      <c r="K24">
        <f>IF(ISNUMBER(VLOOKUP($A24,Metric5ByProject!$A$11:$T$66,20,FALSE))=TRUE,VLOOKUP($A24,Metric5ByProject!$A$11:$T$66,20,FALSE),"")</f>
        <v>6</v>
      </c>
      <c r="O24" s="29">
        <f ca="1">IF(ISNUMBER(VLOOKUP($A24,Metric9ByProject!$A$11:$T$79,20,FALSE))=TRUE,VLOOKUP($A24,Metric9ByProject!$A$11:$T$79,20,FALSE),"")</f>
        <v>4719.3547789510776</v>
      </c>
      <c r="Q24" s="29">
        <f>IF(ISNUMBER(VLOOKUP($A24,Metric11!$A$11:$J$60,10,FALSE)),VLOOKUP($A24,Metric11!$A$11:$J$60,10,FALSE),"")</f>
        <v>9.7745923765499995E-2</v>
      </c>
      <c r="R24" s="29">
        <f>IF(ISNUMBER(VLOOKUP($A24,Metric11!$A$11:$S$60,19,FALSE)),VLOOKUP($A24,Metric11!$A$11:$S$60,19,FALSE),"")</f>
        <v>9.7745923765499995E-2</v>
      </c>
      <c r="U24">
        <f>IF(ISNUMBER(VLOOKUP($A24,Metric21!$A$11:$K$29,11,FALSE)),VLOOKUP($A24,Metric21!$A$11:$K$29,11,FALSE),"")</f>
        <v>0</v>
      </c>
      <c r="V24">
        <f>IF(ISNUMBER(VLOOKUP($A24,Metric21!$A$11:$T$29,20,FALSE)),VLOOKUP($A24,Metric21!$A$11:$T$29,20,FALSE),"")</f>
        <v>0</v>
      </c>
    </row>
    <row r="25" spans="1:22" x14ac:dyDescent="0.25">
      <c r="A25" t="s">
        <v>305</v>
      </c>
      <c r="J25" t="str">
        <f>IF(ISNUMBER(VLOOKUP($A25,Metric5ByProject!$A$11:$K$66,11,FALSE))=TRUE,VLOOKUP($A25,Metric5ByProject!$A$11:$K$66,11,FALSE),"")</f>
        <v/>
      </c>
      <c r="K25" t="str">
        <f>IF(ISNUMBER(VLOOKUP($A25,Metric5ByProject!$A$11:$T$66,20,FALSE))=TRUE,VLOOKUP($A25,Metric5ByProject!$A$11:$T$66,20,FALSE),"")</f>
        <v/>
      </c>
      <c r="O25" s="29" t="str">
        <f>IF(ISNUMBER(VLOOKUP($A25,Metric9ByProject!$A$11:$T$79,20,FALSE))=TRUE,VLOOKUP($A25,Metric9ByProject!$A$11:$T$79,20,FALSE),"")</f>
        <v/>
      </c>
      <c r="Q25" s="29" t="str">
        <f>IF(ISNUMBER(VLOOKUP($A25,Metric11!$A$11:$J$60,10,FALSE)),VLOOKUP($A25,Metric11!$A$11:$J$60,10,FALSE),"")</f>
        <v/>
      </c>
      <c r="R25" s="29" t="str">
        <f>IF(ISNUMBER(VLOOKUP($A25,Metric11!$A$11:$S$60,19,FALSE)),VLOOKUP($A25,Metric11!$A$11:$S$60,19,FALSE),"")</f>
        <v/>
      </c>
      <c r="U25" t="str">
        <f>IF(ISNUMBER(VLOOKUP($A25,Metric21!$A$11:$K$29,11,FALSE)),VLOOKUP($A25,Metric21!$A$11:$K$29,11,FALSE),"")</f>
        <v/>
      </c>
      <c r="V25" t="str">
        <f>IF(ISNUMBER(VLOOKUP($A25,Metric21!$A$11:$T$29,20,FALSE)),VLOOKUP($A25,Metric21!$A$11:$T$29,20,FALSE),"")</f>
        <v/>
      </c>
    </row>
    <row r="26" spans="1:22" x14ac:dyDescent="0.25">
      <c r="A26" t="s">
        <v>306</v>
      </c>
      <c r="J26">
        <f>IF(ISNUMBER(VLOOKUP($A26,Metric5ByProject!$A$11:$K$66,11,FALSE))=TRUE,VLOOKUP($A26,Metric5ByProject!$A$11:$K$66,11,FALSE),"")</f>
        <v>1.415</v>
      </c>
      <c r="K26">
        <f>IF(ISNUMBER(VLOOKUP($A26,Metric5ByProject!$A$11:$T$66,20,FALSE))=TRUE,VLOOKUP($A26,Metric5ByProject!$A$11:$T$66,20,FALSE),"")</f>
        <v>1.19</v>
      </c>
      <c r="O26" s="29">
        <f ca="1">IF(ISNUMBER(VLOOKUP($A26,Metric9ByProject!$A$11:$T$79,20,FALSE))=TRUE,VLOOKUP($A26,Metric9ByProject!$A$11:$T$79,20,FALSE),"")</f>
        <v>5127.0018675688261</v>
      </c>
      <c r="Q26" s="29">
        <f>IF(ISNUMBER(VLOOKUP($A26,Metric11!$A$11:$J$60,10,FALSE)),VLOOKUP($A26,Metric11!$A$11:$J$60,10,FALSE),"")</f>
        <v>0.2470359885441</v>
      </c>
      <c r="R26" s="29">
        <f>IF(ISNUMBER(VLOOKUP($A26,Metric11!$A$11:$S$60,19,FALSE)),VLOOKUP($A26,Metric11!$A$11:$S$60,19,FALSE),"")</f>
        <v>0.21525726253919999</v>
      </c>
      <c r="U26">
        <f>IF(ISNUMBER(VLOOKUP($A26,Metric21!$A$11:$K$29,11,FALSE)),VLOOKUP($A26,Metric21!$A$11:$K$29,11,FALSE),"")</f>
        <v>0</v>
      </c>
      <c r="V26">
        <f>IF(ISNUMBER(VLOOKUP($A26,Metric21!$A$11:$T$29,20,FALSE)),VLOOKUP($A26,Metric21!$A$11:$T$29,20,FALSE),"")</f>
        <v>0</v>
      </c>
    </row>
    <row r="27" spans="1:22" x14ac:dyDescent="0.25">
      <c r="A27" t="s">
        <v>307</v>
      </c>
      <c r="J27">
        <f>IF(ISNUMBER(VLOOKUP($A27,Metric5ByProject!$A$11:$K$66,11,FALSE))=TRUE,VLOOKUP($A27,Metric5ByProject!$A$11:$K$66,11,FALSE),"")</f>
        <v>1.5</v>
      </c>
      <c r="K27">
        <f>IF(ISNUMBER(VLOOKUP($A27,Metric5ByProject!$A$11:$T$66,20,FALSE))=TRUE,VLOOKUP($A27,Metric5ByProject!$A$11:$T$66,20,FALSE),"")</f>
        <v>0.82500000000000007</v>
      </c>
      <c r="O27" s="29">
        <f ca="1">IF(ISNUMBER(VLOOKUP($A27,Metric9ByProject!$A$11:$T$79,20,FALSE))=TRUE,VLOOKUP($A27,Metric9ByProject!$A$11:$T$79,20,FALSE),"")</f>
        <v>28211.456130619415</v>
      </c>
      <c r="Q27" s="29">
        <f>IF(ISNUMBER(VLOOKUP($A27,Metric11!$A$11:$J$60,10,FALSE)),VLOOKUP($A27,Metric11!$A$11:$J$60,10,FALSE),"")</f>
        <v>8.0549392174280005E-2</v>
      </c>
      <c r="R27" s="29">
        <f>IF(ISNUMBER(VLOOKUP($A27,Metric11!$A$11:$S$60,19,FALSE)),VLOOKUP($A27,Metric11!$A$11:$S$60,19,FALSE),"")</f>
        <v>8.0549392174280005E-2</v>
      </c>
      <c r="U27">
        <f>IF(ISNUMBER(VLOOKUP($A27,Metric21!$A$11:$K$29,11,FALSE)),VLOOKUP($A27,Metric21!$A$11:$K$29,11,FALSE),"")</f>
        <v>0</v>
      </c>
      <c r="V27">
        <f>IF(ISNUMBER(VLOOKUP($A27,Metric21!$A$11:$T$29,20,FALSE)),VLOOKUP($A27,Metric21!$A$11:$T$29,20,FALSE),"")</f>
        <v>0</v>
      </c>
    </row>
    <row r="28" spans="1:22" x14ac:dyDescent="0.25">
      <c r="A28" t="s">
        <v>308</v>
      </c>
      <c r="J28">
        <f>IF(ISNUMBER(VLOOKUP($A28,Metric5ByProject!$A$11:$K$66,11,FALSE))=TRUE,VLOOKUP($A28,Metric5ByProject!$A$11:$K$66,11,FALSE),"")</f>
        <v>9.7050000000000001</v>
      </c>
      <c r="K28">
        <f>IF(ISNUMBER(VLOOKUP($A28,Metric5ByProject!$A$11:$T$66,20,FALSE))=TRUE,VLOOKUP($A28,Metric5ByProject!$A$11:$T$66,20,FALSE),"")</f>
        <v>9.2149999999999999</v>
      </c>
      <c r="O28" s="29">
        <f ca="1">IF(ISNUMBER(VLOOKUP($A28,Metric9ByProject!$A$11:$T$79,20,FALSE))=TRUE,VLOOKUP($A28,Metric9ByProject!$A$11:$T$79,20,FALSE),"")</f>
        <v>47145.919601646543</v>
      </c>
      <c r="Q28" s="29">
        <f>IF(ISNUMBER(VLOOKUP($A28,Metric11!$A$11:$J$60,10,FALSE)),VLOOKUP($A28,Metric11!$A$11:$J$60,10,FALSE),"")</f>
        <v>0.45021499999999998</v>
      </c>
      <c r="R28" s="29">
        <f>IF(ISNUMBER(VLOOKUP($A28,Metric11!$A$11:$S$60,19,FALSE)),VLOOKUP($A28,Metric11!$A$11:$S$60,19,FALSE),"")</f>
        <v>0.31430500000000006</v>
      </c>
      <c r="U28">
        <f>IF(ISNUMBER(VLOOKUP($A28,Metric21!$A$11:$K$29,11,FALSE)),VLOOKUP($A28,Metric21!$A$11:$K$29,11,FALSE),"")</f>
        <v>0.06</v>
      </c>
      <c r="V28">
        <f>IF(ISNUMBER(VLOOKUP($A28,Metric21!$A$11:$T$29,20,FALSE)),VLOOKUP($A28,Metric21!$A$11:$T$29,20,FALSE),"")</f>
        <v>0.06</v>
      </c>
    </row>
    <row r="29" spans="1:22" x14ac:dyDescent="0.25">
      <c r="A29" t="s">
        <v>309</v>
      </c>
      <c r="J29" t="str">
        <f>IF(ISNUMBER(VLOOKUP($A29,Metric5ByProject!$A$11:$K$66,11,FALSE))=TRUE,VLOOKUP($A29,Metric5ByProject!$A$11:$K$66,11,FALSE),"")</f>
        <v/>
      </c>
      <c r="K29" t="str">
        <f>IF(ISNUMBER(VLOOKUP($A29,Metric5ByProject!$A$11:$T$66,20,FALSE))=TRUE,VLOOKUP($A29,Metric5ByProject!$A$11:$T$66,20,FALSE),"")</f>
        <v/>
      </c>
      <c r="O29" s="29" t="str">
        <f>IF(ISNUMBER(VLOOKUP($A29,Metric9ByProject!$A$11:$T$79,20,FALSE))=TRUE,VLOOKUP($A29,Metric9ByProject!$A$11:$T$79,20,FALSE),"")</f>
        <v/>
      </c>
      <c r="Q29" s="29" t="str">
        <f>IF(ISNUMBER(VLOOKUP($A29,Metric11!$A$11:$J$60,10,FALSE)),VLOOKUP($A29,Metric11!$A$11:$J$60,10,FALSE),"")</f>
        <v/>
      </c>
      <c r="R29" s="29" t="str">
        <f>IF(ISNUMBER(VLOOKUP($A29,Metric11!$A$11:$S$60,19,FALSE)),VLOOKUP($A29,Metric11!$A$11:$S$60,19,FALSE),"")</f>
        <v/>
      </c>
      <c r="U29" t="str">
        <f>IF(ISNUMBER(VLOOKUP($A29,Metric21!$A$11:$K$29,11,FALSE)),VLOOKUP($A29,Metric21!$A$11:$K$29,11,FALSE),"")</f>
        <v/>
      </c>
      <c r="V29" t="str">
        <f>IF(ISNUMBER(VLOOKUP($A29,Metric21!$A$11:$T$29,20,FALSE)),VLOOKUP($A29,Metric21!$A$11:$T$29,20,FALSE),"")</f>
        <v/>
      </c>
    </row>
    <row r="30" spans="1:22" x14ac:dyDescent="0.25">
      <c r="A30" t="s">
        <v>310</v>
      </c>
      <c r="J30" t="str">
        <f>IF(ISNUMBER(VLOOKUP($A30,Metric5ByProject!$A$11:$K$66,11,FALSE))=TRUE,VLOOKUP($A30,Metric5ByProject!$A$11:$K$66,11,FALSE),"")</f>
        <v/>
      </c>
      <c r="K30" t="str">
        <f>IF(ISNUMBER(VLOOKUP($A30,Metric5ByProject!$A$11:$T$66,20,FALSE))=TRUE,VLOOKUP($A30,Metric5ByProject!$A$11:$T$66,20,FALSE),"")</f>
        <v/>
      </c>
      <c r="O30" s="29" t="str">
        <f>IF(ISNUMBER(VLOOKUP($A30,Metric9ByProject!$A$11:$T$79,20,FALSE))=TRUE,VLOOKUP($A30,Metric9ByProject!$A$11:$T$79,20,FALSE),"")</f>
        <v/>
      </c>
      <c r="Q30" s="29" t="str">
        <f>IF(ISNUMBER(VLOOKUP($A30,Metric11!$A$11:$J$60,10,FALSE)),VLOOKUP($A30,Metric11!$A$11:$J$60,10,FALSE),"")</f>
        <v/>
      </c>
      <c r="R30" s="29" t="str">
        <f>IF(ISNUMBER(VLOOKUP($A30,Metric11!$A$11:$S$60,19,FALSE)),VLOOKUP($A30,Metric11!$A$11:$S$60,19,FALSE),"")</f>
        <v/>
      </c>
      <c r="U30" t="str">
        <f>IF(ISNUMBER(VLOOKUP($A30,Metric21!$A$11:$K$29,11,FALSE)),VLOOKUP($A30,Metric21!$A$11:$K$29,11,FALSE),"")</f>
        <v/>
      </c>
      <c r="V30" t="str">
        <f>IF(ISNUMBER(VLOOKUP($A30,Metric21!$A$11:$T$29,20,FALSE)),VLOOKUP($A30,Metric21!$A$11:$T$29,20,FALSE),"")</f>
        <v/>
      </c>
    </row>
    <row r="31" spans="1:22" x14ac:dyDescent="0.25">
      <c r="A31" t="s">
        <v>311</v>
      </c>
      <c r="J31" t="str">
        <f>IF(ISNUMBER(VLOOKUP($A31,Metric5ByProject!$A$11:$K$66,11,FALSE))=TRUE,VLOOKUP($A31,Metric5ByProject!$A$11:$K$66,11,FALSE),"")</f>
        <v/>
      </c>
      <c r="K31" t="str">
        <f>IF(ISNUMBER(VLOOKUP($A31,Metric5ByProject!$A$11:$T$66,20,FALSE))=TRUE,VLOOKUP($A31,Metric5ByProject!$A$11:$T$66,20,FALSE),"")</f>
        <v/>
      </c>
      <c r="O31" s="29" t="str">
        <f>IF(ISNUMBER(VLOOKUP($A31,Metric9ByProject!$A$11:$T$79,20,FALSE))=TRUE,VLOOKUP($A31,Metric9ByProject!$A$11:$T$79,20,FALSE),"")</f>
        <v/>
      </c>
      <c r="Q31" s="29" t="str">
        <f>IF(ISNUMBER(VLOOKUP($A31,Metric11!$A$11:$J$60,10,FALSE)),VLOOKUP($A31,Metric11!$A$11:$J$60,10,FALSE),"")</f>
        <v/>
      </c>
      <c r="R31" s="29" t="str">
        <f>IF(ISNUMBER(VLOOKUP($A31,Metric11!$A$11:$S$60,19,FALSE)),VLOOKUP($A31,Metric11!$A$11:$S$60,19,FALSE),"")</f>
        <v/>
      </c>
      <c r="U31" t="str">
        <f>IF(ISNUMBER(VLOOKUP($A31,Metric21!$A$11:$K$29,11,FALSE)),VLOOKUP($A31,Metric21!$A$11:$K$29,11,FALSE),"")</f>
        <v/>
      </c>
      <c r="V31" t="str">
        <f>IF(ISNUMBER(VLOOKUP($A31,Metric21!$A$11:$T$29,20,FALSE)),VLOOKUP($A31,Metric21!$A$11:$T$29,20,FALSE),"")</f>
        <v/>
      </c>
    </row>
    <row r="32" spans="1:22" x14ac:dyDescent="0.25">
      <c r="A32" t="s">
        <v>312</v>
      </c>
      <c r="J32">
        <f>IF(ISNUMBER(VLOOKUP($A32,Metric5ByProject!$A$11:$K$66,11,FALSE))=TRUE,VLOOKUP($A32,Metric5ByProject!$A$11:$K$66,11,FALSE),"")</f>
        <v>1.3050000000000002</v>
      </c>
      <c r="K32">
        <f>IF(ISNUMBER(VLOOKUP($A32,Metric5ByProject!$A$11:$T$66,20,FALSE))=TRUE,VLOOKUP($A32,Metric5ByProject!$A$11:$T$66,20,FALSE),"")</f>
        <v>1.08</v>
      </c>
      <c r="O32" s="29">
        <f ca="1">IF(ISNUMBER(VLOOKUP($A32,Metric9ByProject!$A$11:$T$79,20,FALSE))=TRUE,VLOOKUP($A32,Metric9ByProject!$A$11:$T$79,20,FALSE),"")</f>
        <v>6488.1196247643402</v>
      </c>
      <c r="Q32" s="29">
        <f>IF(ISNUMBER(VLOOKUP($A32,Metric11!$A$11:$J$60,10,FALSE)),VLOOKUP($A32,Metric11!$A$11:$J$60,10,FALSE),"")</f>
        <v>6.2900400000000003</v>
      </c>
      <c r="R32" s="29">
        <f>IF(ISNUMBER(VLOOKUP($A32,Metric11!$A$11:$S$60,19,FALSE)),VLOOKUP($A32,Metric11!$A$11:$S$60,19,FALSE),"")</f>
        <v>6.2731050000000002</v>
      </c>
      <c r="U32">
        <f>IF(ISNUMBER(VLOOKUP($A32,Metric21!$A$11:$K$29,11,FALSE)),VLOOKUP($A32,Metric21!$A$11:$K$29,11,FALSE),"")</f>
        <v>0</v>
      </c>
      <c r="V32">
        <f>IF(ISNUMBER(VLOOKUP($A32,Metric21!$A$11:$T$29,20,FALSE)),VLOOKUP($A32,Metric21!$A$11:$T$29,20,FALSE),"")</f>
        <v>0</v>
      </c>
    </row>
    <row r="33" spans="1:22" x14ac:dyDescent="0.25">
      <c r="A33" t="s">
        <v>313</v>
      </c>
      <c r="J33" t="str">
        <f>IF(ISNUMBER(VLOOKUP($A33,Metric5ByProject!$A$11:$K$66,11,FALSE))=TRUE,VLOOKUP($A33,Metric5ByProject!$A$11:$K$66,11,FALSE),"")</f>
        <v/>
      </c>
      <c r="K33" t="str">
        <f>IF(ISNUMBER(VLOOKUP($A33,Metric5ByProject!$A$11:$T$66,20,FALSE))=TRUE,VLOOKUP($A33,Metric5ByProject!$A$11:$T$66,20,FALSE),"")</f>
        <v/>
      </c>
      <c r="O33" s="29" t="str">
        <f>IF(ISNUMBER(VLOOKUP($A33,Metric9ByProject!$A$11:$T$79,20,FALSE))=TRUE,VLOOKUP($A33,Metric9ByProject!$A$11:$T$79,20,FALSE),"")</f>
        <v/>
      </c>
      <c r="Q33" s="29" t="str">
        <f>IF(ISNUMBER(VLOOKUP($A33,Metric11!$A$11:$J$60,10,FALSE)),VLOOKUP($A33,Metric11!$A$11:$J$60,10,FALSE),"")</f>
        <v/>
      </c>
      <c r="R33" s="29" t="str">
        <f>IF(ISNUMBER(VLOOKUP($A33,Metric11!$A$11:$S$60,19,FALSE)),VLOOKUP($A33,Metric11!$A$11:$S$60,19,FALSE),"")</f>
        <v/>
      </c>
      <c r="U33" t="str">
        <f>IF(ISNUMBER(VLOOKUP($A33,Metric21!$A$11:$K$29,11,FALSE)),VLOOKUP($A33,Metric21!$A$11:$K$29,11,FALSE),"")</f>
        <v/>
      </c>
      <c r="V33" t="str">
        <f>IF(ISNUMBER(VLOOKUP($A33,Metric21!$A$11:$T$29,20,FALSE)),VLOOKUP($A33,Metric21!$A$11:$T$29,20,FALSE),"")</f>
        <v/>
      </c>
    </row>
    <row r="34" spans="1:22" x14ac:dyDescent="0.25">
      <c r="A34" t="s">
        <v>314</v>
      </c>
      <c r="J34" t="str">
        <f>IF(ISNUMBER(VLOOKUP($A34,Metric5ByProject!$A$11:$K$66,11,FALSE))=TRUE,VLOOKUP($A34,Metric5ByProject!$A$11:$K$66,11,FALSE),"")</f>
        <v/>
      </c>
      <c r="K34" t="str">
        <f>IF(ISNUMBER(VLOOKUP($A34,Metric5ByProject!$A$11:$T$66,20,FALSE))=TRUE,VLOOKUP($A34,Metric5ByProject!$A$11:$T$66,20,FALSE),"")</f>
        <v/>
      </c>
      <c r="O34" t="str">
        <f>IF(ISNUMBER(VLOOKUP($A34,Metric9ByProject!$A$11:$T$79,20,FALSE))=TRUE,VLOOKUP($A34,Metric9ByProject!$A$11:$T$79,20,FALSE),"")</f>
        <v/>
      </c>
      <c r="Q34" s="29" t="str">
        <f>IF(ISNUMBER(VLOOKUP($A34,Metric11!$A$11:$J$60,10,FALSE)),VLOOKUP($A34,Metric11!$A$11:$J$60,10,FALSE),"")</f>
        <v/>
      </c>
      <c r="R34" s="29" t="str">
        <f>IF(ISNUMBER(VLOOKUP($A34,Metric11!$A$11:$S$60,19,FALSE)),VLOOKUP($A34,Metric11!$A$11:$S$60,19,FALSE),"")</f>
        <v/>
      </c>
      <c r="U34" t="str">
        <f>IF(ISNUMBER(VLOOKUP($A34,Metric21!$A$11:$K$29,11,FALSE)),VLOOKUP($A34,Metric21!$A$11:$K$29,11,FALSE),"")</f>
        <v/>
      </c>
      <c r="V34" t="str">
        <f>IF(ISNUMBER(VLOOKUP($A34,Metric21!$A$11:$T$29,20,FALSE)),VLOOKUP($A34,Metric21!$A$11:$T$29,20,FALSE),"")</f>
        <v/>
      </c>
    </row>
    <row r="35" spans="1:22" x14ac:dyDescent="0.25">
      <c r="A35" t="s">
        <v>315</v>
      </c>
      <c r="J35" t="str">
        <f>IF(ISNUMBER(VLOOKUP($A35,Metric5ByProject!$A$11:$K$66,11,FALSE))=TRUE,VLOOKUP($A35,Metric5ByProject!$A$11:$K$66,11,FALSE),"")</f>
        <v/>
      </c>
      <c r="K35" t="str">
        <f>IF(ISNUMBER(VLOOKUP($A35,Metric5ByProject!$A$11:$T$66,20,FALSE))=TRUE,VLOOKUP($A35,Metric5ByProject!$A$11:$T$66,20,FALSE),"")</f>
        <v/>
      </c>
      <c r="O35" t="str">
        <f>IF(ISNUMBER(VLOOKUP($A35,Metric9ByProject!$A$11:$T$79,20,FALSE))=TRUE,VLOOKUP($A35,Metric9ByProject!$A$11:$T$79,20,FALSE),"")</f>
        <v/>
      </c>
      <c r="Q35" s="29" t="str">
        <f>IF(ISNUMBER(VLOOKUP($A35,Metric11!$A$11:$J$60,10,FALSE)),VLOOKUP($A35,Metric11!$A$11:$J$60,10,FALSE),"")</f>
        <v/>
      </c>
      <c r="R35" s="29" t="str">
        <f>IF(ISNUMBER(VLOOKUP($A35,Metric11!$A$11:$S$60,19,FALSE)),VLOOKUP($A35,Metric11!$A$11:$S$60,19,FALSE),"")</f>
        <v/>
      </c>
      <c r="U35" t="str">
        <f>IF(ISNUMBER(VLOOKUP($A35,Metric21!$A$11:$K$29,11,FALSE)),VLOOKUP($A35,Metric21!$A$11:$K$29,11,FALSE),"")</f>
        <v/>
      </c>
      <c r="V35" t="str">
        <f>IF(ISNUMBER(VLOOKUP($A35,Metric21!$A$11:$T$29,20,FALSE)),VLOOKUP($A35,Metric21!$A$11:$T$29,20,FALSE),"")</f>
        <v/>
      </c>
    </row>
    <row r="36" spans="1:22" x14ac:dyDescent="0.25">
      <c r="A36" t="s">
        <v>316</v>
      </c>
      <c r="J36" t="str">
        <f>IF(ISNUMBER(VLOOKUP($A36,Metric5ByProject!$A$11:$K$66,11,FALSE))=TRUE,VLOOKUP($A36,Metric5ByProject!$A$11:$K$66,11,FALSE),"")</f>
        <v/>
      </c>
      <c r="K36" t="str">
        <f>IF(ISNUMBER(VLOOKUP($A36,Metric5ByProject!$A$11:$T$66,20,FALSE))=TRUE,VLOOKUP($A36,Metric5ByProject!$A$11:$T$66,20,FALSE),"")</f>
        <v/>
      </c>
      <c r="O36" t="str">
        <f>IF(ISNUMBER(VLOOKUP($A36,Metric9ByProject!$A$11:$T$79,20,FALSE))=TRUE,VLOOKUP($A36,Metric9ByProject!$A$11:$T$79,20,FALSE),"")</f>
        <v/>
      </c>
      <c r="Q36" s="29" t="str">
        <f>IF(ISNUMBER(VLOOKUP($A36,Metric11!$A$11:$J$60,10,FALSE)),VLOOKUP($A36,Metric11!$A$11:$J$60,10,FALSE),"")</f>
        <v/>
      </c>
      <c r="R36" s="29" t="str">
        <f>IF(ISNUMBER(VLOOKUP($A36,Metric11!$A$11:$S$60,19,FALSE)),VLOOKUP($A36,Metric11!$A$11:$S$60,19,FALSE),"")</f>
        <v/>
      </c>
      <c r="U36" t="str">
        <f>IF(ISNUMBER(VLOOKUP($A36,Metric21!$A$11:$K$29,11,FALSE)),VLOOKUP($A36,Metric21!$A$11:$K$29,11,FALSE),"")</f>
        <v/>
      </c>
      <c r="V36" t="str">
        <f>IF(ISNUMBER(VLOOKUP($A36,Metric21!$A$11:$T$29,20,FALSE)),VLOOKUP($A36,Metric21!$A$11:$T$29,20,FALSE),"")</f>
        <v/>
      </c>
    </row>
    <row r="37" spans="1:22" x14ac:dyDescent="0.25">
      <c r="A37" t="s">
        <v>317</v>
      </c>
      <c r="J37" t="str">
        <f>IF(ISNUMBER(VLOOKUP($A37,Metric5ByProject!$A$11:$K$66,11,FALSE))=TRUE,VLOOKUP($A37,Metric5ByProject!$A$11:$K$66,11,FALSE),"")</f>
        <v/>
      </c>
      <c r="K37" t="str">
        <f>IF(ISNUMBER(VLOOKUP($A37,Metric5ByProject!$A$11:$T$66,20,FALSE))=TRUE,VLOOKUP($A37,Metric5ByProject!$A$11:$T$66,20,FALSE),"")</f>
        <v/>
      </c>
      <c r="O37" t="str">
        <f>IF(ISNUMBER(VLOOKUP($A37,Metric9ByProject!$A$11:$T$79,20,FALSE))=TRUE,VLOOKUP($A37,Metric9ByProject!$A$11:$T$79,20,FALSE),"")</f>
        <v/>
      </c>
      <c r="Q37" s="29" t="str">
        <f>IF(ISNUMBER(VLOOKUP($A37,Metric11!$A$11:$J$60,10,FALSE)),VLOOKUP($A37,Metric11!$A$11:$J$60,10,FALSE),"")</f>
        <v/>
      </c>
      <c r="R37" s="29" t="str">
        <f>IF(ISNUMBER(VLOOKUP($A37,Metric11!$A$11:$S$60,19,FALSE)),VLOOKUP($A37,Metric11!$A$11:$S$60,19,FALSE),"")</f>
        <v/>
      </c>
      <c r="U37" t="str">
        <f>IF(ISNUMBER(VLOOKUP($A37,Metric21!$A$11:$K$29,11,FALSE)),VLOOKUP($A37,Metric21!$A$11:$K$29,11,FALSE),"")</f>
        <v/>
      </c>
      <c r="V37" t="str">
        <f>IF(ISNUMBER(VLOOKUP($A37,Metric21!$A$11:$T$29,20,FALSE)),VLOOKUP($A37,Metric21!$A$11:$T$29,20,FALSE),"")</f>
        <v/>
      </c>
    </row>
    <row r="38" spans="1:22" x14ac:dyDescent="0.25">
      <c r="A38" t="s">
        <v>318</v>
      </c>
      <c r="J38" t="str">
        <f>IF(ISNUMBER(VLOOKUP($A38,Metric5ByProject!$A$11:$K$66,11,FALSE))=TRUE,VLOOKUP($A38,Metric5ByProject!$A$11:$K$66,11,FALSE),"")</f>
        <v/>
      </c>
      <c r="K38" t="str">
        <f>IF(ISNUMBER(VLOOKUP($A38,Metric5ByProject!$A$11:$T$66,20,FALSE))=TRUE,VLOOKUP($A38,Metric5ByProject!$A$11:$T$66,20,FALSE),"")</f>
        <v/>
      </c>
      <c r="O38" t="str">
        <f>IF(ISNUMBER(VLOOKUP($A38,Metric9ByProject!$A$11:$T$79,20,FALSE))=TRUE,VLOOKUP($A38,Metric9ByProject!$A$11:$T$79,20,FALSE),"")</f>
        <v/>
      </c>
      <c r="Q38" s="29" t="str">
        <f>IF(ISNUMBER(VLOOKUP($A38,Metric11!$A$11:$J$60,10,FALSE)),VLOOKUP($A38,Metric11!$A$11:$J$60,10,FALSE),"")</f>
        <v/>
      </c>
      <c r="R38" s="29" t="str">
        <f>IF(ISNUMBER(VLOOKUP($A38,Metric11!$A$11:$S$60,19,FALSE)),VLOOKUP($A38,Metric11!$A$11:$S$60,19,FALSE),"")</f>
        <v/>
      </c>
      <c r="U38" t="str">
        <f>IF(ISNUMBER(VLOOKUP($A38,Metric21!$A$11:$K$29,11,FALSE)),VLOOKUP($A38,Metric21!$A$11:$K$29,11,FALSE),"")</f>
        <v/>
      </c>
      <c r="V38" t="str">
        <f>IF(ISNUMBER(VLOOKUP($A38,Metric21!$A$11:$T$29,20,FALSE)),VLOOKUP($A38,Metric21!$A$11:$T$29,20,FALSE),"")</f>
        <v/>
      </c>
    </row>
    <row r="39" spans="1:22" x14ac:dyDescent="0.25">
      <c r="A39" t="s">
        <v>319</v>
      </c>
      <c r="J39" t="str">
        <f>IF(ISNUMBER(VLOOKUP($A39,Metric5ByProject!$A$11:$K$66,11,FALSE))=TRUE,VLOOKUP($A39,Metric5ByProject!$A$11:$K$66,11,FALSE),"")</f>
        <v/>
      </c>
      <c r="K39" t="str">
        <f>IF(ISNUMBER(VLOOKUP($A39,Metric5ByProject!$A$11:$T$66,20,FALSE))=TRUE,VLOOKUP($A39,Metric5ByProject!$A$11:$T$66,20,FALSE),"")</f>
        <v/>
      </c>
      <c r="O39" t="str">
        <f>IF(ISNUMBER(VLOOKUP($A39,Metric9ByProject!$A$11:$T$79,20,FALSE))=TRUE,VLOOKUP($A39,Metric9ByProject!$A$11:$T$79,20,FALSE),"")</f>
        <v/>
      </c>
      <c r="Q39" s="29" t="str">
        <f>IF(ISNUMBER(VLOOKUP($A39,Metric11!$A$11:$J$60,10,FALSE)),VLOOKUP($A39,Metric11!$A$11:$J$60,10,FALSE),"")</f>
        <v/>
      </c>
      <c r="R39" s="29" t="str">
        <f>IF(ISNUMBER(VLOOKUP($A39,Metric11!$A$11:$S$60,19,FALSE)),VLOOKUP($A39,Metric11!$A$11:$S$60,19,FALSE),"")</f>
        <v/>
      </c>
      <c r="U39" t="str">
        <f>IF(ISNUMBER(VLOOKUP($A39,Metric21!$A$11:$K$29,11,FALSE)),VLOOKUP($A39,Metric21!$A$11:$K$29,11,FALSE),"")</f>
        <v/>
      </c>
      <c r="V39" t="str">
        <f>IF(ISNUMBER(VLOOKUP($A39,Metric21!$A$11:$T$29,20,FALSE)),VLOOKUP($A39,Metric21!$A$11:$T$29,20,FALSE),"")</f>
        <v/>
      </c>
    </row>
    <row r="40" spans="1:22" x14ac:dyDescent="0.25">
      <c r="A40" t="s">
        <v>320</v>
      </c>
      <c r="J40" t="str">
        <f>IF(ISNUMBER(VLOOKUP($A40,Metric5ByProject!$A$11:$K$66,11,FALSE))=TRUE,VLOOKUP($A40,Metric5ByProject!$A$11:$K$66,11,FALSE),"")</f>
        <v/>
      </c>
      <c r="K40" t="str">
        <f>IF(ISNUMBER(VLOOKUP($A40,Metric5ByProject!$A$11:$T$66,20,FALSE))=TRUE,VLOOKUP($A40,Metric5ByProject!$A$11:$T$66,20,FALSE),"")</f>
        <v/>
      </c>
      <c r="O40" t="str">
        <f>IF(ISNUMBER(VLOOKUP($A40,Metric9ByProject!$A$11:$T$79,20,FALSE))=TRUE,VLOOKUP($A40,Metric9ByProject!$A$11:$T$79,20,FALSE),"")</f>
        <v/>
      </c>
      <c r="Q40" s="29" t="str">
        <f>IF(ISNUMBER(VLOOKUP($A40,Metric11!$A$11:$J$60,10,FALSE)),VLOOKUP($A40,Metric11!$A$11:$J$60,10,FALSE),"")</f>
        <v/>
      </c>
      <c r="R40" s="29" t="str">
        <f>IF(ISNUMBER(VLOOKUP($A40,Metric11!$A$11:$S$60,19,FALSE)),VLOOKUP($A40,Metric11!$A$11:$S$60,19,FALSE),"")</f>
        <v/>
      </c>
      <c r="U40" t="str">
        <f>IF(ISNUMBER(VLOOKUP($A40,Metric21!$A$11:$K$29,11,FALSE)),VLOOKUP($A40,Metric21!$A$11:$K$29,11,FALSE),"")</f>
        <v/>
      </c>
      <c r="V40" t="str">
        <f>IF(ISNUMBER(VLOOKUP($A40,Metric21!$A$11:$T$29,20,FALSE)),VLOOKUP($A40,Metric21!$A$11:$T$29,20,FALSE),"")</f>
        <v/>
      </c>
    </row>
    <row r="41" spans="1:22" x14ac:dyDescent="0.25">
      <c r="A41" t="s">
        <v>321</v>
      </c>
      <c r="J41" t="str">
        <f>IF(ISNUMBER(VLOOKUP($A41,Metric5ByProject!$A$11:$K$66,11,FALSE))=TRUE,VLOOKUP($A41,Metric5ByProject!$A$11:$K$66,11,FALSE),"")</f>
        <v/>
      </c>
      <c r="K41" t="str">
        <f>IF(ISNUMBER(VLOOKUP($A41,Metric5ByProject!$A$11:$T$66,20,FALSE))=TRUE,VLOOKUP($A41,Metric5ByProject!$A$11:$T$66,20,FALSE),"")</f>
        <v/>
      </c>
      <c r="O41" t="str">
        <f>IF(ISNUMBER(VLOOKUP($A41,Metric9ByProject!$A$11:$T$79,20,FALSE))=TRUE,VLOOKUP($A41,Metric9ByProject!$A$11:$T$79,20,FALSE),"")</f>
        <v/>
      </c>
      <c r="Q41" s="29" t="str">
        <f>IF(ISNUMBER(VLOOKUP($A41,Metric11!$A$11:$J$60,10,FALSE)),VLOOKUP($A41,Metric11!$A$11:$J$60,10,FALSE),"")</f>
        <v/>
      </c>
      <c r="R41" s="29" t="str">
        <f>IF(ISNUMBER(VLOOKUP($A41,Metric11!$A$11:$S$60,19,FALSE)),VLOOKUP($A41,Metric11!$A$11:$S$60,19,FALSE),"")</f>
        <v/>
      </c>
      <c r="U41" t="str">
        <f>IF(ISNUMBER(VLOOKUP($A41,Metric21!$A$11:$K$29,11,FALSE)),VLOOKUP($A41,Metric21!$A$11:$K$29,11,FALSE),"")</f>
        <v/>
      </c>
      <c r="V41" t="str">
        <f>IF(ISNUMBER(VLOOKUP($A41,Metric21!$A$11:$T$29,20,FALSE)),VLOOKUP($A41,Metric21!$A$11:$T$29,20,FALSE),"")</f>
        <v/>
      </c>
    </row>
    <row r="42" spans="1:22" x14ac:dyDescent="0.25">
      <c r="A42" t="s">
        <v>322</v>
      </c>
      <c r="J42" t="str">
        <f>IF(ISNUMBER(VLOOKUP($A42,Metric5ByProject!$A$11:$K$66,11,FALSE))=TRUE,VLOOKUP($A42,Metric5ByProject!$A$11:$K$66,11,FALSE),"")</f>
        <v/>
      </c>
      <c r="K42" t="str">
        <f>IF(ISNUMBER(VLOOKUP($A42,Metric5ByProject!$A$11:$T$66,20,FALSE))=TRUE,VLOOKUP($A42,Metric5ByProject!$A$11:$T$66,20,FALSE),"")</f>
        <v/>
      </c>
      <c r="O42" t="str">
        <f>IF(ISNUMBER(VLOOKUP($A42,Metric9ByProject!$A$11:$T$79,20,FALSE))=TRUE,VLOOKUP($A42,Metric9ByProject!$A$11:$T$79,20,FALSE),"")</f>
        <v/>
      </c>
      <c r="Q42" s="29" t="str">
        <f>IF(ISNUMBER(VLOOKUP($A42,Metric11!$A$11:$J$60,10,FALSE)),VLOOKUP($A42,Metric11!$A$11:$J$60,10,FALSE),"")</f>
        <v/>
      </c>
      <c r="R42" s="29" t="str">
        <f>IF(ISNUMBER(VLOOKUP($A42,Metric11!$A$11:$S$60,19,FALSE)),VLOOKUP($A42,Metric11!$A$11:$S$60,19,FALSE),"")</f>
        <v/>
      </c>
      <c r="U42" t="str">
        <f>IF(ISNUMBER(VLOOKUP($A42,Metric21!$A$11:$K$29,11,FALSE)),VLOOKUP($A42,Metric21!$A$11:$K$29,11,FALSE),"")</f>
        <v/>
      </c>
      <c r="V42" t="str">
        <f>IF(ISNUMBER(VLOOKUP($A42,Metric21!$A$11:$T$29,20,FALSE)),VLOOKUP($A42,Metric21!$A$11:$T$29,20,FALSE),"")</f>
        <v/>
      </c>
    </row>
    <row r="43" spans="1:22" x14ac:dyDescent="0.25">
      <c r="A43" t="s">
        <v>323</v>
      </c>
      <c r="J43" t="str">
        <f>IF(ISNUMBER(VLOOKUP($A43,Metric5ByProject!$A$11:$K$66,11,FALSE))=TRUE,VLOOKUP($A43,Metric5ByProject!$A$11:$K$66,11,FALSE),"")</f>
        <v/>
      </c>
      <c r="K43" t="str">
        <f>IF(ISNUMBER(VLOOKUP($A43,Metric5ByProject!$A$11:$T$66,20,FALSE))=TRUE,VLOOKUP($A43,Metric5ByProject!$A$11:$T$66,20,FALSE),"")</f>
        <v/>
      </c>
      <c r="O43" t="str">
        <f>IF(ISNUMBER(VLOOKUP($A43,Metric9ByProject!$A$11:$T$79,20,FALSE))=TRUE,VLOOKUP($A43,Metric9ByProject!$A$11:$T$79,20,FALSE),"")</f>
        <v/>
      </c>
      <c r="Q43" s="29" t="str">
        <f>IF(ISNUMBER(VLOOKUP($A43,Metric11!$A$11:$J$60,10,FALSE)),VLOOKUP($A43,Metric11!$A$11:$J$60,10,FALSE),"")</f>
        <v/>
      </c>
      <c r="R43" s="29" t="str">
        <f>IF(ISNUMBER(VLOOKUP($A43,Metric11!$A$11:$S$60,19,FALSE)),VLOOKUP($A43,Metric11!$A$11:$S$60,19,FALSE),"")</f>
        <v/>
      </c>
      <c r="U43" t="str">
        <f>IF(ISNUMBER(VLOOKUP($A43,Metric21!$A$11:$K$29,11,FALSE)),VLOOKUP($A43,Metric21!$A$11:$K$29,11,FALSE),"")</f>
        <v/>
      </c>
      <c r="V43" t="str">
        <f>IF(ISNUMBER(VLOOKUP($A43,Metric21!$A$11:$T$29,20,FALSE)),VLOOKUP($A43,Metric21!$A$11:$T$29,20,FALSE),"")</f>
        <v/>
      </c>
    </row>
    <row r="44" spans="1:22" x14ac:dyDescent="0.25">
      <c r="A44" t="s">
        <v>324</v>
      </c>
      <c r="J44" t="str">
        <f>IF(ISNUMBER(VLOOKUP($A44,Metric5ByProject!$A$11:$K$66,11,FALSE))=TRUE,VLOOKUP($A44,Metric5ByProject!$A$11:$K$66,11,FALSE),"")</f>
        <v/>
      </c>
      <c r="K44" t="str">
        <f>IF(ISNUMBER(VLOOKUP($A44,Metric5ByProject!$A$11:$T$66,20,FALSE))=TRUE,VLOOKUP($A44,Metric5ByProject!$A$11:$T$66,20,FALSE),"")</f>
        <v/>
      </c>
      <c r="O44" t="str">
        <f>IF(ISNUMBER(VLOOKUP($A44,Metric9ByProject!$A$11:$T$79,20,FALSE))=TRUE,VLOOKUP($A44,Metric9ByProject!$A$11:$T$79,20,FALSE),"")</f>
        <v/>
      </c>
      <c r="Q44" s="29" t="str">
        <f>IF(ISNUMBER(VLOOKUP($A44,Metric11!$A$11:$J$60,10,FALSE)),VLOOKUP($A44,Metric11!$A$11:$J$60,10,FALSE),"")</f>
        <v/>
      </c>
      <c r="R44" s="29" t="str">
        <f>IF(ISNUMBER(VLOOKUP($A44,Metric11!$A$11:$S$60,19,FALSE)),VLOOKUP($A44,Metric11!$A$11:$S$60,19,FALSE),"")</f>
        <v/>
      </c>
      <c r="U44" t="str">
        <f>IF(ISNUMBER(VLOOKUP($A44,Metric21!$A$11:$K$29,11,FALSE)),VLOOKUP($A44,Metric21!$A$11:$K$29,11,FALSE),"")</f>
        <v/>
      </c>
      <c r="V44" t="str">
        <f>IF(ISNUMBER(VLOOKUP($A44,Metric21!$A$11:$T$29,20,FALSE)),VLOOKUP($A44,Metric21!$A$11:$T$29,20,FALSE),"")</f>
        <v/>
      </c>
    </row>
    <row r="45" spans="1:22" x14ac:dyDescent="0.25">
      <c r="A45" t="s">
        <v>325</v>
      </c>
      <c r="J45" t="str">
        <f>IF(ISNUMBER(VLOOKUP($A45,Metric5ByProject!$A$11:$K$66,11,FALSE))=TRUE,VLOOKUP($A45,Metric5ByProject!$A$11:$K$66,11,FALSE),"")</f>
        <v/>
      </c>
      <c r="K45" t="str">
        <f>IF(ISNUMBER(VLOOKUP($A45,Metric5ByProject!$A$11:$T$66,20,FALSE))=TRUE,VLOOKUP($A45,Metric5ByProject!$A$11:$T$66,20,FALSE),"")</f>
        <v/>
      </c>
      <c r="O45" t="str">
        <f>IF(ISNUMBER(VLOOKUP($A45,Metric9ByProject!$A$11:$T$79,20,FALSE))=TRUE,VLOOKUP($A45,Metric9ByProject!$A$11:$T$79,20,FALSE),"")</f>
        <v/>
      </c>
      <c r="Q45" s="29" t="str">
        <f>IF(ISNUMBER(VLOOKUP($A45,Metric11!$A$11:$J$60,10,FALSE)),VLOOKUP($A45,Metric11!$A$11:$J$60,10,FALSE),"")</f>
        <v/>
      </c>
      <c r="R45" s="29" t="str">
        <f>IF(ISNUMBER(VLOOKUP($A45,Metric11!$A$11:$S$60,19,FALSE)),VLOOKUP($A45,Metric11!$A$11:$S$60,19,FALSE),"")</f>
        <v/>
      </c>
      <c r="U45" t="str">
        <f>IF(ISNUMBER(VLOOKUP($A45,Metric21!$A$11:$K$29,11,FALSE)),VLOOKUP($A45,Metric21!$A$11:$K$29,11,FALSE),"")</f>
        <v/>
      </c>
      <c r="V45" t="str">
        <f>IF(ISNUMBER(VLOOKUP($A45,Metric21!$A$11:$T$29,20,FALSE)),VLOOKUP($A45,Metric21!$A$11:$T$29,20,FALSE),"")</f>
        <v/>
      </c>
    </row>
    <row r="46" spans="1:22" x14ac:dyDescent="0.25">
      <c r="A46" t="s">
        <v>326</v>
      </c>
      <c r="J46" t="str">
        <f>IF(ISNUMBER(VLOOKUP($A46,Metric5ByProject!$A$11:$K$66,11,FALSE))=TRUE,VLOOKUP($A46,Metric5ByProject!$A$11:$K$66,11,FALSE),"")</f>
        <v/>
      </c>
      <c r="K46" t="str">
        <f>IF(ISNUMBER(VLOOKUP($A46,Metric5ByProject!$A$11:$T$66,20,FALSE))=TRUE,VLOOKUP($A46,Metric5ByProject!$A$11:$T$66,20,FALSE),"")</f>
        <v/>
      </c>
      <c r="O46" t="str">
        <f>IF(ISNUMBER(VLOOKUP($A46,Metric9ByProject!$A$11:$T$79,20,FALSE))=TRUE,VLOOKUP($A46,Metric9ByProject!$A$11:$T$79,20,FALSE),"")</f>
        <v/>
      </c>
      <c r="Q46" s="29" t="str">
        <f>IF(ISNUMBER(VLOOKUP($A46,Metric11!$A$11:$J$60,10,FALSE)),VLOOKUP($A46,Metric11!$A$11:$J$60,10,FALSE),"")</f>
        <v/>
      </c>
      <c r="R46" s="29" t="str">
        <f>IF(ISNUMBER(VLOOKUP($A46,Metric11!$A$11:$S$60,19,FALSE)),VLOOKUP($A46,Metric11!$A$11:$S$60,19,FALSE),"")</f>
        <v/>
      </c>
      <c r="U46" t="str">
        <f>IF(ISNUMBER(VLOOKUP($A46,Metric21!$A$11:$K$29,11,FALSE)),VLOOKUP($A46,Metric21!$A$11:$K$29,11,FALSE),"")</f>
        <v/>
      </c>
      <c r="V46" t="str">
        <f>IF(ISNUMBER(VLOOKUP($A46,Metric21!$A$11:$T$29,20,FALSE)),VLOOKUP($A46,Metric21!$A$11:$T$29,20,FALSE),"")</f>
        <v/>
      </c>
    </row>
  </sheetData>
  <mergeCells count="9">
    <mergeCell ref="U8:V8"/>
    <mergeCell ref="Q8:R8"/>
    <mergeCell ref="S8:T8"/>
    <mergeCell ref="B8:C8"/>
    <mergeCell ref="D8:E8"/>
    <mergeCell ref="F8:G8"/>
    <mergeCell ref="H8:I8"/>
    <mergeCell ref="J8:K8"/>
    <mergeCell ref="L8:M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T31"/>
  <sheetViews>
    <sheetView workbookViewId="0">
      <pane xSplit="1" ySplit="10" topLeftCell="B11" activePane="bottomRight" state="frozen"/>
      <selection pane="topRight" activeCell="B1" sqref="B1"/>
      <selection pane="bottomLeft" activeCell="A11" sqref="A11"/>
      <selection pane="bottomRight" activeCell="E5" sqref="E5"/>
    </sheetView>
  </sheetViews>
  <sheetFormatPr defaultRowHeight="15" x14ac:dyDescent="0.25"/>
  <cols>
    <col min="1" max="1" width="19.28515625" customWidth="1"/>
    <col min="2" max="2" width="12.28515625" customWidth="1"/>
    <col min="3" max="3" width="12.42578125" customWidth="1"/>
    <col min="4" max="4" width="11.85546875" customWidth="1"/>
    <col min="5" max="5" width="11.5703125" customWidth="1"/>
    <col min="6" max="10" width="6.28515625" customWidth="1"/>
    <col min="11" max="11" width="8.42578125" customWidth="1"/>
    <col min="14" max="14" width="11.7109375" customWidth="1"/>
    <col min="15" max="19" width="7.7109375" customWidth="1"/>
  </cols>
  <sheetData>
    <row r="1" spans="1:20" x14ac:dyDescent="0.25">
      <c r="A1" t="s">
        <v>343</v>
      </c>
    </row>
    <row r="8" spans="1:20" ht="15" customHeight="1" x14ac:dyDescent="0.25">
      <c r="C8" s="108" t="s">
        <v>101</v>
      </c>
      <c r="D8" s="108"/>
      <c r="E8" s="108"/>
      <c r="F8" s="108"/>
      <c r="G8" s="108"/>
      <c r="H8" s="108"/>
      <c r="I8" s="108"/>
      <c r="J8" s="108"/>
      <c r="K8" s="108"/>
      <c r="L8" s="109" t="s">
        <v>103</v>
      </c>
      <c r="M8" s="109"/>
      <c r="N8" s="109"/>
      <c r="O8" s="109"/>
      <c r="P8" s="109"/>
      <c r="Q8" s="109"/>
      <c r="R8" s="109"/>
      <c r="S8" s="109"/>
      <c r="T8" s="109"/>
    </row>
    <row r="9" spans="1:20" ht="51" customHeight="1" x14ac:dyDescent="0.25">
      <c r="C9" s="27">
        <v>0.5</v>
      </c>
      <c r="D9" s="27">
        <v>0.05</v>
      </c>
      <c r="E9" s="27">
        <v>0.01</v>
      </c>
      <c r="F9" s="110" t="s">
        <v>289</v>
      </c>
      <c r="G9" s="110"/>
      <c r="H9" s="110"/>
      <c r="I9" s="110"/>
      <c r="J9" s="110"/>
      <c r="K9" s="111" t="s">
        <v>102</v>
      </c>
      <c r="L9" s="31">
        <v>0.5</v>
      </c>
      <c r="M9" s="31">
        <v>0.05</v>
      </c>
      <c r="N9" s="31">
        <v>0.01</v>
      </c>
      <c r="O9" s="112" t="s">
        <v>104</v>
      </c>
      <c r="P9" s="112"/>
      <c r="Q9" s="112"/>
      <c r="R9" s="112"/>
      <c r="S9" s="112"/>
      <c r="T9" s="111" t="s">
        <v>102</v>
      </c>
    </row>
    <row r="10" spans="1:20" x14ac:dyDescent="0.25">
      <c r="A10" t="s">
        <v>70</v>
      </c>
      <c r="B10" s="90" t="s">
        <v>369</v>
      </c>
      <c r="C10" s="30" t="s">
        <v>245</v>
      </c>
      <c r="D10" s="30" t="s">
        <v>55</v>
      </c>
      <c r="E10" s="30" t="s">
        <v>56</v>
      </c>
      <c r="F10" t="s">
        <v>96</v>
      </c>
      <c r="G10" t="s">
        <v>97</v>
      </c>
      <c r="H10" t="s">
        <v>98</v>
      </c>
      <c r="I10" t="s">
        <v>99</v>
      </c>
      <c r="J10" t="s">
        <v>100</v>
      </c>
      <c r="K10" s="111"/>
      <c r="L10" s="30" t="s">
        <v>245</v>
      </c>
      <c r="M10" s="30" t="s">
        <v>55</v>
      </c>
      <c r="N10" s="30" t="s">
        <v>56</v>
      </c>
      <c r="O10" t="s">
        <v>96</v>
      </c>
      <c r="P10" t="s">
        <v>97</v>
      </c>
      <c r="Q10" t="s">
        <v>98</v>
      </c>
      <c r="R10" t="s">
        <v>99</v>
      </c>
      <c r="S10" t="s">
        <v>100</v>
      </c>
      <c r="T10" s="111"/>
    </row>
    <row r="11" spans="1:20" x14ac:dyDescent="0.25">
      <c r="A11" s="80" t="s">
        <v>312</v>
      </c>
      <c r="B11" s="93"/>
      <c r="C11" s="79">
        <f>COUNTIFS(Damage!$B$11:$B$100,Metric5ByProject!$A11,Damage!$A$11:$A$100,2,Damage!$N$11:$N$100,"&gt;0")</f>
        <v>2</v>
      </c>
      <c r="D11" s="79">
        <f>COUNTIFS(Damage!$B$11:$B$100,Metric5ByProject!$A11,Damage!$A$11:$A$100,20,Damage!$N$11:$N$100,"&gt;0")</f>
        <v>3</v>
      </c>
      <c r="E11" s="79">
        <f>COUNTIFS(Damage!$B$11:$B$100,Metric5ByProject!$A11,Damage!$A$11:$A$100,100,Damage!$N$11:$N$100,"&gt;0")</f>
        <v>4</v>
      </c>
      <c r="F11" s="80">
        <f>$E$9*E11</f>
        <v>0.04</v>
      </c>
      <c r="G11" s="80">
        <f>(0.5)*(E11-D11)*($D$9-$E$9)</f>
        <v>0.02</v>
      </c>
      <c r="H11" s="80">
        <f>(D11)*($D$9-$E$9)</f>
        <v>0.12</v>
      </c>
      <c r="I11" s="80">
        <f>(0.5)*($C$9-$D$9)*(D11-C11)</f>
        <v>0.22500000000000001</v>
      </c>
      <c r="J11" s="80">
        <f>($C$9-$D$9)*C11</f>
        <v>0.9</v>
      </c>
      <c r="K11" s="80">
        <f>SUM(F11:J11)</f>
        <v>1.3050000000000002</v>
      </c>
      <c r="L11" s="79">
        <f>COUNTIFS(Damage!$B$11:$B$100,Metric5ByProject!$A11,Damage!$A$11:$A$100,2,Damage!$O$11:$O$100,"&gt;0")</f>
        <v>1</v>
      </c>
      <c r="M11" s="79">
        <f>COUNTIFS(Damage!$B$11:$B$100,Metric5ByProject!$A11,Damage!$A$11:$A$100,20,Damage!$O$11:$O$100,"&gt;0")</f>
        <v>3</v>
      </c>
      <c r="N11" s="79">
        <f>COUNTIFS(Damage!$B$11:$B$100,Metric5ByProject!$A11,Damage!$A$11:$A$100,100,Damage!$O$11:$O$100,"&gt;0")</f>
        <v>4</v>
      </c>
      <c r="O11" s="80">
        <f>$E$9*N11</f>
        <v>0.04</v>
      </c>
      <c r="P11" s="80">
        <f>(0.5)*(N11-M11)*($D$9-$E$9)</f>
        <v>0.02</v>
      </c>
      <c r="Q11" s="80">
        <f>(M11)*($D$9-$E$9)</f>
        <v>0.12</v>
      </c>
      <c r="R11" s="80">
        <f>(0.5)*($C$9-$D$9)*(M11-L11)</f>
        <v>0.45</v>
      </c>
      <c r="S11" s="80">
        <f>($C$9-$D$9)*L11</f>
        <v>0.45</v>
      </c>
      <c r="T11" s="80">
        <f>SUM(O11:S11)</f>
        <v>1.08</v>
      </c>
    </row>
    <row r="12" spans="1:20" x14ac:dyDescent="0.25">
      <c r="A12" s="81" t="s">
        <v>308</v>
      </c>
      <c r="B12" s="94"/>
      <c r="C12" s="95">
        <v>3</v>
      </c>
      <c r="D12" s="95">
        <v>30</v>
      </c>
      <c r="E12" s="95">
        <v>56</v>
      </c>
      <c r="F12" s="81">
        <f>$E$9*E12</f>
        <v>0.56000000000000005</v>
      </c>
      <c r="G12" s="81">
        <f>(0.5)*(E12-D12)*($D$9-$E$9)</f>
        <v>0.52</v>
      </c>
      <c r="H12" s="81">
        <f>(D12)*($D$9-$E$9)</f>
        <v>1.2</v>
      </c>
      <c r="I12" s="81">
        <f>(0.5)*($C$9-$D$9)*(D12-C12)</f>
        <v>6.0750000000000002</v>
      </c>
      <c r="J12" s="81">
        <f>($C$9-$D$9)*C12</f>
        <v>1.35</v>
      </c>
      <c r="K12" s="81">
        <f>SUM(F12:J12)</f>
        <v>9.7050000000000001</v>
      </c>
      <c r="L12" s="95">
        <v>3</v>
      </c>
      <c r="M12" s="95">
        <v>28</v>
      </c>
      <c r="N12" s="95">
        <v>56</v>
      </c>
      <c r="O12" s="81">
        <f>$E$9*N12</f>
        <v>0.56000000000000005</v>
      </c>
      <c r="P12" s="81">
        <f>(0.5)*(N12-M12)*($D$9-$E$9)</f>
        <v>0.56000000000000005</v>
      </c>
      <c r="Q12" s="81">
        <f>(M12)*($D$9-$E$9)</f>
        <v>1.1200000000000001</v>
      </c>
      <c r="R12" s="81">
        <f>(0.5)*($C$9-$D$9)*(M12-L12)</f>
        <v>5.625</v>
      </c>
      <c r="S12" s="81">
        <f>($C$9-$D$9)*L12</f>
        <v>1.35</v>
      </c>
      <c r="T12" s="81">
        <f>SUM(O12:S12)</f>
        <v>9.2149999999999999</v>
      </c>
    </row>
    <row r="13" spans="1:20" x14ac:dyDescent="0.25">
      <c r="A13" s="83" t="s">
        <v>303</v>
      </c>
      <c r="B13" s="93">
        <v>1</v>
      </c>
      <c r="C13" s="79">
        <f>COUNTIFS(Damage!$B$11:$B$100,Metric5ByProject!$A13,Damage!$A$11:$A$100,2,Damage!$N$11:$N$100,"&gt;0")</f>
        <v>0</v>
      </c>
      <c r="D13" s="79">
        <f>COUNTIFS(Damage!$B$11:$B$100,Metric5ByProject!$A13,Damage!$A$11:$A$100,20,Damage!$N$11:$N$100,"&gt;0")</f>
        <v>0</v>
      </c>
      <c r="E13" s="79">
        <v>47</v>
      </c>
      <c r="F13" s="80">
        <f>$E$9*E13</f>
        <v>0.47000000000000003</v>
      </c>
      <c r="G13" s="80">
        <f>(0.5)*(E13-D13)*($D$9-$E$9)</f>
        <v>0.94000000000000006</v>
      </c>
      <c r="H13" s="80">
        <f>(D13)*($D$9-$E$9)</f>
        <v>0</v>
      </c>
      <c r="I13" s="80">
        <f>(0.5)*($C$9-$D$9)*(D13-C13)</f>
        <v>0</v>
      </c>
      <c r="J13" s="80">
        <f>($C$9-$D$9)*C13</f>
        <v>0</v>
      </c>
      <c r="K13" s="80">
        <f>SUM(F13:J13)</f>
        <v>1.4100000000000001</v>
      </c>
      <c r="L13" s="79">
        <f>COUNTIFS(Damage!$B$11:$B$100,Metric5ByProject!$A13,Damage!$A$11:$A$100,2,Damage!$O$11:$O$100,"&gt;0")</f>
        <v>0</v>
      </c>
      <c r="M13" s="79">
        <f>COUNTIFS(Damage!$B$11:$B$100,Metric5ByProject!$A13,Damage!$A$11:$A$100,20,Damage!$O$11:$O$100,"&gt;0")</f>
        <v>0</v>
      </c>
      <c r="N13" s="79">
        <v>47</v>
      </c>
      <c r="O13" s="80">
        <f>$E$9*N13</f>
        <v>0.47000000000000003</v>
      </c>
      <c r="P13" s="80">
        <f>(0.5)*(N13-M13)*($D$9-$E$9)</f>
        <v>0.94000000000000006</v>
      </c>
      <c r="Q13" s="80">
        <f>(M13)*($D$9-$E$9)</f>
        <v>0</v>
      </c>
      <c r="R13" s="80">
        <f>(0.5)*($C$9-$D$9)*(M13-L13)</f>
        <v>0</v>
      </c>
      <c r="S13" s="80">
        <f>($C$9-$D$9)*L13</f>
        <v>0</v>
      </c>
      <c r="T13" s="80">
        <f>SUM(O13:S13)</f>
        <v>1.4100000000000001</v>
      </c>
    </row>
    <row r="14" spans="1:20" x14ac:dyDescent="0.25">
      <c r="A14" s="81" t="s">
        <v>433</v>
      </c>
      <c r="B14" s="94"/>
      <c r="C14" s="95"/>
      <c r="D14" s="95"/>
      <c r="E14" s="95"/>
      <c r="F14" s="81"/>
      <c r="G14" s="81"/>
      <c r="H14" s="81"/>
      <c r="I14" s="81"/>
      <c r="J14" s="81"/>
      <c r="K14" s="81"/>
      <c r="L14" s="95"/>
      <c r="M14" s="95"/>
      <c r="N14" s="95"/>
      <c r="O14" s="81"/>
      <c r="P14" s="81"/>
      <c r="Q14" s="81"/>
      <c r="R14" s="81"/>
      <c r="S14" s="81"/>
      <c r="T14" s="81"/>
    </row>
    <row r="15" spans="1:20" x14ac:dyDescent="0.25">
      <c r="A15" s="83" t="s">
        <v>307</v>
      </c>
      <c r="B15" s="93">
        <v>2</v>
      </c>
      <c r="C15" s="79">
        <f>COUNTIFS(Damage!$B$11:$B$100,Metric5ByProject!$A15,Damage!$A$11:$A$100,2,Damage!$N$11:$N$100,"&gt;0")</f>
        <v>3</v>
      </c>
      <c r="D15" s="79">
        <f>COUNTIFS(Damage!$B$11:$B$100,Metric5ByProject!$A15,Damage!$A$11:$A$100,20,Damage!$N$11:$N$100,"&gt;0")</f>
        <v>3</v>
      </c>
      <c r="E15" s="79">
        <f>COUNTIFS(Damage!$B$11:$B$100,Metric5ByProject!$A15,Damage!$A$11:$A$100,100,Damage!$N$11:$N$100,"&gt;0")</f>
        <v>3</v>
      </c>
      <c r="F15" s="80">
        <f t="shared" ref="F15:F16" si="0">$E$9*E15</f>
        <v>0.03</v>
      </c>
      <c r="G15" s="80">
        <f t="shared" ref="G15:G16" si="1">(0.5)*(E15-D15)*($D$9-$E$9)</f>
        <v>0</v>
      </c>
      <c r="H15" s="80">
        <f t="shared" ref="H15:H16" si="2">(D15)*($D$9-$E$9)</f>
        <v>0.12</v>
      </c>
      <c r="I15" s="80">
        <f t="shared" ref="I15:I16" si="3">(0.5)*($C$9-$D$9)*(D15-C15)</f>
        <v>0</v>
      </c>
      <c r="J15" s="80">
        <f t="shared" ref="J15:J16" si="4">($C$9-$D$9)*C15</f>
        <v>1.35</v>
      </c>
      <c r="K15" s="80">
        <f t="shared" ref="K15:K16" si="5">SUM(F15:J15)</f>
        <v>1.5</v>
      </c>
      <c r="L15" s="79">
        <f>COUNTIFS(Damage!$B$11:$B$100,Metric5ByProject!$A15,Damage!$A$11:$A$100,2,Damage!$O$11:$O$100,"&gt;0")</f>
        <v>0</v>
      </c>
      <c r="M15" s="79">
        <f>COUNTIFS(Damage!$B$11:$B$100,Metric5ByProject!$A15,Damage!$A$11:$A$100,20,Damage!$O$11:$O$100,"&gt;0")</f>
        <v>3</v>
      </c>
      <c r="N15" s="79">
        <f>COUNTIFS(Damage!$B$11:$B$100,Metric5ByProject!$A15,Damage!$A$11:$A$100,100,Damage!$O$11:$O$100,"&gt;0")</f>
        <v>3</v>
      </c>
      <c r="O15" s="80">
        <f t="shared" ref="O15:O16" si="6">$E$9*N15</f>
        <v>0.03</v>
      </c>
      <c r="P15" s="80">
        <f t="shared" ref="P15:P16" si="7">(0.5)*(N15-M15)*($D$9-$E$9)</f>
        <v>0</v>
      </c>
      <c r="Q15" s="80">
        <f t="shared" ref="Q15:Q16" si="8">(M15)*($D$9-$E$9)</f>
        <v>0.12</v>
      </c>
      <c r="R15" s="80">
        <f t="shared" ref="R15:R16" si="9">(0.5)*($C$9-$D$9)*(M15-L15)</f>
        <v>0.67500000000000004</v>
      </c>
      <c r="S15" s="79">
        <f t="shared" ref="S15:S16" si="10">($C$9-$D$9)*L15</f>
        <v>0</v>
      </c>
      <c r="T15" s="80">
        <f t="shared" ref="T15:T16" si="11">SUM(O15:S15)</f>
        <v>0.82500000000000007</v>
      </c>
    </row>
    <row r="16" spans="1:20" x14ac:dyDescent="0.25">
      <c r="A16" s="81" t="s">
        <v>301</v>
      </c>
      <c r="B16" s="94">
        <v>3</v>
      </c>
      <c r="C16" s="95">
        <v>3</v>
      </c>
      <c r="D16" s="95">
        <v>0</v>
      </c>
      <c r="E16" s="95">
        <v>5</v>
      </c>
      <c r="F16" s="81">
        <f t="shared" si="0"/>
        <v>0.05</v>
      </c>
      <c r="G16" s="81">
        <f t="shared" si="1"/>
        <v>0.1</v>
      </c>
      <c r="H16" s="81">
        <f t="shared" si="2"/>
        <v>0</v>
      </c>
      <c r="I16" s="81">
        <f t="shared" si="3"/>
        <v>-0.67500000000000004</v>
      </c>
      <c r="J16" s="81">
        <f t="shared" si="4"/>
        <v>1.35</v>
      </c>
      <c r="K16" s="81">
        <f t="shared" si="5"/>
        <v>0.82500000000000007</v>
      </c>
      <c r="L16" s="95">
        <v>3</v>
      </c>
      <c r="M16" s="95">
        <v>0</v>
      </c>
      <c r="N16" s="95">
        <v>5</v>
      </c>
      <c r="O16" s="81">
        <f t="shared" si="6"/>
        <v>0.05</v>
      </c>
      <c r="P16" s="81">
        <f t="shared" si="7"/>
        <v>0.1</v>
      </c>
      <c r="Q16" s="81">
        <f t="shared" si="8"/>
        <v>0</v>
      </c>
      <c r="R16" s="81">
        <f t="shared" si="9"/>
        <v>-0.67500000000000004</v>
      </c>
      <c r="S16" s="81">
        <f t="shared" si="10"/>
        <v>1.35</v>
      </c>
      <c r="T16" s="81">
        <f t="shared" si="11"/>
        <v>0.82500000000000007</v>
      </c>
    </row>
    <row r="17" spans="1:20" x14ac:dyDescent="0.25">
      <c r="A17" s="97" t="s">
        <v>306</v>
      </c>
      <c r="B17" s="98">
        <v>1</v>
      </c>
      <c r="C17" s="79">
        <v>1</v>
      </c>
      <c r="D17" s="79">
        <v>4</v>
      </c>
      <c r="E17" s="79">
        <v>7</v>
      </c>
      <c r="F17" s="83">
        <f t="shared" ref="F17" si="12">$E$9*E17</f>
        <v>7.0000000000000007E-2</v>
      </c>
      <c r="G17" s="83">
        <f t="shared" ref="G17" si="13">(0.5)*(E17-D17)*($D$9-$E$9)</f>
        <v>0.06</v>
      </c>
      <c r="H17" s="83">
        <f t="shared" ref="H17" si="14">(D17)*($D$9-$E$9)</f>
        <v>0.16</v>
      </c>
      <c r="I17" s="83">
        <f t="shared" ref="I17" si="15">(0.5)*($C$9-$D$9)*(D17-C17)</f>
        <v>0.67500000000000004</v>
      </c>
      <c r="J17" s="83">
        <f t="shared" ref="J17" si="16">($C$9-$D$9)*C17</f>
        <v>0.45</v>
      </c>
      <c r="K17" s="83">
        <f t="shared" ref="K17" si="17">SUM(F17:J17)</f>
        <v>1.415</v>
      </c>
      <c r="L17" s="79">
        <v>0</v>
      </c>
      <c r="M17" s="79">
        <v>4</v>
      </c>
      <c r="N17" s="79">
        <v>7</v>
      </c>
      <c r="O17" s="83">
        <f t="shared" ref="O17" si="18">$E$9*N17</f>
        <v>7.0000000000000007E-2</v>
      </c>
      <c r="P17" s="83">
        <f t="shared" ref="P17" si="19">(0.5)*(N17-M17)*($D$9-$E$9)</f>
        <v>0.06</v>
      </c>
      <c r="Q17" s="83">
        <f t="shared" ref="Q17" si="20">(M17)*($D$9-$E$9)</f>
        <v>0.16</v>
      </c>
      <c r="R17" s="83">
        <f t="shared" ref="R17" si="21">(0.5)*($C$9-$D$9)*(M17-L17)</f>
        <v>0.9</v>
      </c>
      <c r="S17" s="83">
        <f t="shared" ref="S17" si="22">($C$9-$D$9)*L17</f>
        <v>0</v>
      </c>
      <c r="T17" s="83">
        <f t="shared" ref="T17" si="23">SUM(O17:S17)</f>
        <v>1.19</v>
      </c>
    </row>
    <row r="18" spans="1:20" x14ac:dyDescent="0.25">
      <c r="A18" s="81" t="s">
        <v>300</v>
      </c>
      <c r="B18" s="96">
        <v>1</v>
      </c>
      <c r="C18" s="81">
        <v>0</v>
      </c>
      <c r="D18" s="81">
        <v>0</v>
      </c>
      <c r="E18" s="81">
        <v>2</v>
      </c>
      <c r="F18" s="81">
        <f t="shared" ref="F18:F19" si="24">$E$9*E18</f>
        <v>0.02</v>
      </c>
      <c r="G18" s="81">
        <f t="shared" ref="G18:G19" si="25">(0.5)*(E18-D18)*($D$9-$E$9)</f>
        <v>0.04</v>
      </c>
      <c r="H18" s="81">
        <f t="shared" ref="H18:H19" si="26">(D18)*($D$9-$E$9)</f>
        <v>0</v>
      </c>
      <c r="I18" s="81">
        <f t="shared" ref="I18:I19" si="27">(0.5)*($C$9-$D$9)*(D18-C18)</f>
        <v>0</v>
      </c>
      <c r="J18" s="81">
        <f t="shared" ref="J18:J19" si="28">($C$9-$D$9)*C18</f>
        <v>0</v>
      </c>
      <c r="K18" s="81">
        <f t="shared" ref="K18:K19" si="29">SUM(F18:J18)</f>
        <v>0.06</v>
      </c>
      <c r="L18" s="81">
        <v>0</v>
      </c>
      <c r="M18" s="81">
        <v>0</v>
      </c>
      <c r="N18" s="81">
        <v>2</v>
      </c>
      <c r="O18" s="81">
        <f t="shared" ref="O18:O19" si="30">$E$9*N18</f>
        <v>0.02</v>
      </c>
      <c r="P18" s="81">
        <f t="shared" ref="P18:P19" si="31">(0.5)*(N18-M18)*($D$9-$E$9)</f>
        <v>0.04</v>
      </c>
      <c r="Q18" s="81">
        <f t="shared" ref="Q18:Q19" si="32">(M18)*($D$9-$E$9)</f>
        <v>0</v>
      </c>
      <c r="R18" s="81">
        <f t="shared" ref="R18:R19" si="33">(0.5)*($C$9-$D$9)*(M18-L18)</f>
        <v>0</v>
      </c>
      <c r="S18" s="81">
        <f t="shared" ref="S18:S19" si="34">($C$9-$D$9)*L18</f>
        <v>0</v>
      </c>
      <c r="T18" s="81">
        <f t="shared" ref="T18:T19" si="35">SUM(O18:S18)</f>
        <v>0.06</v>
      </c>
    </row>
    <row r="19" spans="1:20" x14ac:dyDescent="0.25">
      <c r="A19" s="83" t="s">
        <v>304</v>
      </c>
      <c r="B19" s="80">
        <v>1</v>
      </c>
      <c r="C19" s="79">
        <v>12</v>
      </c>
      <c r="D19" s="79">
        <v>12</v>
      </c>
      <c r="E19" s="79">
        <v>12</v>
      </c>
      <c r="F19" s="80">
        <f t="shared" si="24"/>
        <v>0.12</v>
      </c>
      <c r="G19" s="80">
        <f t="shared" si="25"/>
        <v>0</v>
      </c>
      <c r="H19" s="80">
        <f t="shared" si="26"/>
        <v>0.48</v>
      </c>
      <c r="I19" s="80">
        <f t="shared" si="27"/>
        <v>0</v>
      </c>
      <c r="J19" s="80">
        <f t="shared" si="28"/>
        <v>5.4</v>
      </c>
      <c r="K19" s="80">
        <f t="shared" si="29"/>
        <v>6</v>
      </c>
      <c r="L19" s="79">
        <v>12</v>
      </c>
      <c r="M19" s="79">
        <v>12</v>
      </c>
      <c r="N19" s="79">
        <v>12</v>
      </c>
      <c r="O19" s="80">
        <f t="shared" si="30"/>
        <v>0.12</v>
      </c>
      <c r="P19" s="80">
        <f t="shared" si="31"/>
        <v>0</v>
      </c>
      <c r="Q19" s="80">
        <f t="shared" si="32"/>
        <v>0.48</v>
      </c>
      <c r="R19" s="80">
        <f t="shared" si="33"/>
        <v>0</v>
      </c>
      <c r="S19" s="80">
        <f t="shared" si="34"/>
        <v>5.4</v>
      </c>
      <c r="T19" s="80">
        <f t="shared" si="35"/>
        <v>6</v>
      </c>
    </row>
    <row r="20" spans="1:20" x14ac:dyDescent="0.25">
      <c r="A20" s="81"/>
      <c r="B20" s="81"/>
      <c r="C20" s="81"/>
      <c r="D20" s="81"/>
      <c r="E20" s="81"/>
      <c r="F20" s="81"/>
      <c r="G20" s="81"/>
      <c r="H20" s="81"/>
      <c r="I20" s="81"/>
      <c r="J20" s="81"/>
      <c r="K20" s="81"/>
      <c r="L20" s="81"/>
      <c r="M20" s="81"/>
      <c r="N20" s="81"/>
      <c r="O20" s="81"/>
      <c r="P20" s="81"/>
      <c r="Q20" s="81"/>
      <c r="R20" s="81"/>
      <c r="S20" s="81"/>
      <c r="T20" s="81"/>
    </row>
    <row r="21" spans="1:20" x14ac:dyDescent="0.25">
      <c r="A21" s="81"/>
      <c r="B21" s="92"/>
      <c r="C21" s="95"/>
      <c r="D21" s="95"/>
      <c r="E21" s="95"/>
      <c r="F21" s="92"/>
      <c r="G21" s="92"/>
      <c r="H21" s="92"/>
      <c r="I21" s="92"/>
      <c r="J21" s="92"/>
      <c r="K21" s="92"/>
      <c r="L21" s="95"/>
      <c r="M21" s="95"/>
      <c r="N21" s="95"/>
      <c r="O21" s="92"/>
      <c r="P21" s="92"/>
      <c r="Q21" s="92"/>
      <c r="R21" s="92"/>
      <c r="S21" s="92"/>
      <c r="T21" s="92"/>
    </row>
    <row r="22" spans="1:20" x14ac:dyDescent="0.25">
      <c r="A22" s="81"/>
      <c r="B22" s="81"/>
      <c r="C22" s="81"/>
      <c r="D22" s="81"/>
      <c r="E22" s="81"/>
      <c r="F22" s="81"/>
      <c r="G22" s="81"/>
      <c r="H22" s="81"/>
      <c r="I22" s="81"/>
      <c r="J22" s="81"/>
      <c r="K22" s="81"/>
      <c r="L22" s="81"/>
      <c r="M22" s="81"/>
      <c r="N22" s="81"/>
      <c r="O22" s="81"/>
      <c r="P22" s="81"/>
      <c r="Q22" s="81"/>
      <c r="R22" s="81"/>
      <c r="S22" s="81"/>
      <c r="T22" s="81"/>
    </row>
    <row r="23" spans="1:20" x14ac:dyDescent="0.25">
      <c r="A23" s="81"/>
      <c r="B23" s="92"/>
      <c r="C23" s="95"/>
      <c r="D23" s="95"/>
      <c r="E23" s="95"/>
      <c r="F23" s="92"/>
      <c r="G23" s="92"/>
      <c r="H23" s="92"/>
      <c r="I23" s="92"/>
      <c r="J23" s="92"/>
      <c r="K23" s="92"/>
      <c r="L23" s="95"/>
      <c r="M23" s="95"/>
      <c r="N23" s="95"/>
      <c r="O23" s="92"/>
      <c r="P23" s="92"/>
      <c r="Q23" s="92"/>
      <c r="R23" s="92"/>
      <c r="S23" s="92"/>
      <c r="T23" s="92"/>
    </row>
    <row r="24" spans="1:20" x14ac:dyDescent="0.25">
      <c r="A24" s="78"/>
      <c r="B24" s="78"/>
      <c r="C24" s="82"/>
      <c r="D24" s="82"/>
      <c r="E24" s="82"/>
      <c r="F24" s="82"/>
      <c r="G24" s="82"/>
      <c r="H24" s="82"/>
      <c r="I24" s="82"/>
      <c r="J24" s="82"/>
      <c r="K24" s="82"/>
      <c r="L24" s="82"/>
      <c r="M24" s="82"/>
      <c r="N24" s="82"/>
      <c r="O24" s="82"/>
      <c r="P24" s="82"/>
      <c r="Q24" s="82"/>
      <c r="R24" s="82"/>
      <c r="S24" s="82"/>
      <c r="T24" s="82"/>
    </row>
    <row r="25" spans="1:20" x14ac:dyDescent="0.25">
      <c r="A25" s="82"/>
      <c r="B25" s="82"/>
      <c r="C25" s="82"/>
      <c r="D25" s="82"/>
      <c r="E25" s="82"/>
      <c r="F25" s="82"/>
      <c r="G25" s="82"/>
      <c r="H25" s="82"/>
      <c r="I25" s="82"/>
      <c r="J25" s="82"/>
      <c r="K25" s="82"/>
      <c r="L25" s="82"/>
      <c r="M25" s="82"/>
      <c r="N25" s="82"/>
      <c r="O25" s="82"/>
      <c r="P25" s="82"/>
      <c r="Q25" s="82"/>
      <c r="R25" s="82"/>
      <c r="S25" s="82"/>
      <c r="T25" s="82"/>
    </row>
    <row r="26" spans="1:20" x14ac:dyDescent="0.25">
      <c r="A26" s="82"/>
      <c r="B26" s="82"/>
      <c r="C26" s="82"/>
      <c r="D26" s="82"/>
      <c r="E26" s="82"/>
      <c r="F26" s="82"/>
      <c r="G26" s="82"/>
      <c r="H26" s="82"/>
      <c r="I26" s="82"/>
      <c r="J26" s="82"/>
      <c r="K26" s="82"/>
      <c r="L26" s="82"/>
      <c r="M26" s="82"/>
      <c r="N26" s="82"/>
      <c r="O26" s="82"/>
      <c r="P26" s="82"/>
      <c r="Q26" s="82"/>
      <c r="R26" s="82"/>
      <c r="S26" s="82"/>
      <c r="T26" s="82"/>
    </row>
    <row r="27" spans="1:20" x14ac:dyDescent="0.25">
      <c r="A27" s="82"/>
      <c r="B27" s="82"/>
      <c r="C27" s="82"/>
      <c r="D27" s="82"/>
      <c r="E27" s="82"/>
      <c r="F27" s="82"/>
      <c r="G27" s="82"/>
      <c r="H27" s="82"/>
      <c r="I27" s="82"/>
      <c r="J27" s="82"/>
      <c r="K27" s="82"/>
      <c r="L27" s="82"/>
      <c r="M27" s="82"/>
      <c r="N27" s="82"/>
      <c r="O27" s="82"/>
      <c r="P27" s="82"/>
      <c r="Q27" s="82"/>
      <c r="R27" s="82"/>
      <c r="S27" s="82"/>
      <c r="T27" s="82"/>
    </row>
    <row r="28" spans="1:20" x14ac:dyDescent="0.25">
      <c r="A28" s="82"/>
      <c r="B28" s="82"/>
      <c r="C28" s="82"/>
      <c r="D28" s="82"/>
      <c r="E28" s="82"/>
      <c r="F28" s="82"/>
      <c r="G28" s="82"/>
      <c r="H28" s="82"/>
      <c r="I28" s="82"/>
      <c r="J28" s="82"/>
      <c r="K28" s="82"/>
      <c r="L28" s="82"/>
      <c r="M28" s="82"/>
      <c r="N28" s="82"/>
      <c r="O28" s="82"/>
      <c r="P28" s="82"/>
      <c r="Q28" s="82"/>
      <c r="R28" s="82"/>
      <c r="S28" s="82"/>
      <c r="T28" s="82"/>
    </row>
    <row r="29" spans="1:20" x14ac:dyDescent="0.25">
      <c r="A29" s="82"/>
      <c r="B29" s="82"/>
      <c r="C29" s="82"/>
      <c r="D29" s="82"/>
      <c r="E29" s="82"/>
      <c r="F29" s="82"/>
      <c r="G29" s="82"/>
      <c r="H29" s="82"/>
      <c r="I29" s="82"/>
      <c r="J29" s="82"/>
      <c r="K29" s="82"/>
      <c r="L29" s="82"/>
      <c r="M29" s="82"/>
      <c r="N29" s="82"/>
      <c r="O29" s="82"/>
      <c r="P29" s="82"/>
      <c r="Q29" s="82"/>
      <c r="R29" s="82"/>
      <c r="S29" s="82"/>
      <c r="T29" s="82"/>
    </row>
    <row r="30" spans="1:20" x14ac:dyDescent="0.25">
      <c r="A30" s="82"/>
      <c r="B30" s="82"/>
      <c r="C30" s="82"/>
      <c r="D30" s="82"/>
      <c r="E30" s="82"/>
      <c r="F30" s="82"/>
      <c r="G30" s="82"/>
      <c r="H30" s="82"/>
      <c r="I30" s="82"/>
      <c r="J30" s="82"/>
      <c r="K30" s="82"/>
      <c r="L30" s="82"/>
      <c r="M30" s="82"/>
      <c r="N30" s="82"/>
      <c r="O30" s="82"/>
      <c r="P30" s="82"/>
      <c r="Q30" s="82"/>
      <c r="R30" s="82"/>
      <c r="S30" s="82"/>
      <c r="T30" s="82"/>
    </row>
    <row r="31" spans="1:20" x14ac:dyDescent="0.25">
      <c r="A31" s="82"/>
      <c r="B31" s="82"/>
      <c r="C31" s="82"/>
      <c r="D31" s="82"/>
      <c r="E31" s="82"/>
      <c r="F31" s="82"/>
      <c r="G31" s="82"/>
      <c r="H31" s="82"/>
      <c r="I31" s="82"/>
      <c r="J31" s="82"/>
      <c r="K31" s="82"/>
      <c r="L31" s="82"/>
      <c r="M31" s="82"/>
      <c r="N31" s="82"/>
      <c r="O31" s="82"/>
      <c r="P31" s="82"/>
      <c r="Q31" s="82"/>
      <c r="R31" s="82"/>
      <c r="S31" s="82"/>
      <c r="T31" s="82"/>
    </row>
  </sheetData>
  <mergeCells count="6">
    <mergeCell ref="C8:K8"/>
    <mergeCell ref="L8:T8"/>
    <mergeCell ref="F9:J9"/>
    <mergeCell ref="K9:K10"/>
    <mergeCell ref="O9:S9"/>
    <mergeCell ref="T9:T10"/>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T19"/>
  <sheetViews>
    <sheetView workbookViewId="0">
      <selection activeCell="A15" sqref="A15"/>
    </sheetView>
  </sheetViews>
  <sheetFormatPr defaultRowHeight="15" x14ac:dyDescent="0.25"/>
  <cols>
    <col min="1" max="1" width="19.28515625" customWidth="1"/>
    <col min="2" max="2" width="12.42578125" customWidth="1"/>
    <col min="3" max="3" width="11.85546875" customWidth="1"/>
    <col min="4" max="4" width="11.5703125" customWidth="1"/>
    <col min="10" max="10" width="10.5703125" customWidth="1"/>
    <col min="12" max="12" width="11.42578125" customWidth="1"/>
    <col min="13" max="13" width="11.7109375" customWidth="1"/>
    <col min="19" max="19" width="11.140625" bestFit="1" customWidth="1"/>
    <col min="20" max="20" width="14.5703125" customWidth="1"/>
  </cols>
  <sheetData>
    <row r="1" spans="1:20" x14ac:dyDescent="0.25">
      <c r="A1" t="s">
        <v>342</v>
      </c>
    </row>
    <row r="8" spans="1:20" ht="15" customHeight="1" x14ac:dyDescent="0.25">
      <c r="A8" s="47"/>
      <c r="B8" s="115" t="s">
        <v>101</v>
      </c>
      <c r="C8" s="115"/>
      <c r="D8" s="115"/>
      <c r="E8" s="115"/>
      <c r="F8" s="115"/>
      <c r="G8" s="115"/>
      <c r="H8" s="115"/>
      <c r="I8" s="115"/>
      <c r="J8" s="115"/>
      <c r="K8" s="116" t="s">
        <v>103</v>
      </c>
      <c r="L8" s="116"/>
      <c r="M8" s="116"/>
      <c r="N8" s="116"/>
      <c r="O8" s="116"/>
      <c r="P8" s="116"/>
      <c r="Q8" s="116"/>
      <c r="R8" s="116"/>
      <c r="S8" s="116"/>
      <c r="T8" s="113" t="s">
        <v>273</v>
      </c>
    </row>
    <row r="9" spans="1:20" ht="51" customHeight="1" x14ac:dyDescent="0.25">
      <c r="A9" s="47"/>
      <c r="B9" s="48">
        <v>0.5</v>
      </c>
      <c r="C9" s="48">
        <v>0.05</v>
      </c>
      <c r="D9" s="48">
        <v>0.01</v>
      </c>
      <c r="E9" s="117" t="s">
        <v>104</v>
      </c>
      <c r="F9" s="117"/>
      <c r="G9" s="117"/>
      <c r="H9" s="117"/>
      <c r="I9" s="117"/>
      <c r="J9" s="118" t="s">
        <v>274</v>
      </c>
      <c r="K9" s="49">
        <v>0.5</v>
      </c>
      <c r="L9" s="49">
        <v>0.05</v>
      </c>
      <c r="M9" s="49">
        <v>0.01</v>
      </c>
      <c r="N9" s="120" t="s">
        <v>104</v>
      </c>
      <c r="O9" s="120"/>
      <c r="P9" s="120"/>
      <c r="Q9" s="120"/>
      <c r="R9" s="120"/>
      <c r="S9" s="118" t="s">
        <v>275</v>
      </c>
      <c r="T9" s="113"/>
    </row>
    <row r="10" spans="1:20" ht="15.75" thickBot="1" x14ac:dyDescent="0.3">
      <c r="A10" s="50" t="s">
        <v>70</v>
      </c>
      <c r="B10" s="51" t="s">
        <v>93</v>
      </c>
      <c r="C10" s="51" t="s">
        <v>94</v>
      </c>
      <c r="D10" s="51" t="s">
        <v>95</v>
      </c>
      <c r="E10" s="50" t="s">
        <v>96</v>
      </c>
      <c r="F10" s="50" t="s">
        <v>97</v>
      </c>
      <c r="G10" s="50" t="s">
        <v>98</v>
      </c>
      <c r="H10" s="50" t="s">
        <v>99</v>
      </c>
      <c r="I10" s="50" t="s">
        <v>100</v>
      </c>
      <c r="J10" s="119"/>
      <c r="K10" s="51" t="s">
        <v>93</v>
      </c>
      <c r="L10" s="51" t="s">
        <v>94</v>
      </c>
      <c r="M10" s="51" t="s">
        <v>95</v>
      </c>
      <c r="N10" s="50" t="s">
        <v>96</v>
      </c>
      <c r="O10" s="50" t="s">
        <v>97</v>
      </c>
      <c r="P10" s="50" t="s">
        <v>98</v>
      </c>
      <c r="Q10" s="50" t="s">
        <v>99</v>
      </c>
      <c r="R10" s="50" t="s">
        <v>100</v>
      </c>
      <c r="S10" s="119"/>
      <c r="T10" s="114"/>
    </row>
    <row r="11" spans="1:20" x14ac:dyDescent="0.25">
      <c r="A11" s="52" t="s">
        <v>312</v>
      </c>
      <c r="B11" s="53">
        <f ca="1">SUMIFS(Damage!$AW$11:$AW$100,Damage!$B$11:$B$100,$A11,Damage!$A$11:$A$100,2)</f>
        <v>3483.0916621773376</v>
      </c>
      <c r="C11" s="53">
        <f ca="1">SUMIFS(Damage!$AW$11:$AW$100,Damage!$B$11:$B$100,$A11,Damage!$A$11:$A$100,20)</f>
        <v>29878.843066020614</v>
      </c>
      <c r="D11" s="53">
        <f ca="1">SUMIFS(Damage!$AW$11:$AW$100,Damage!$B$11:$B$100,$A11,Damage!$A$11:$A$100,100)</f>
        <v>152028.34971194548</v>
      </c>
      <c r="E11" s="54">
        <f ca="1">$D$9*D11</f>
        <v>1520.283497119455</v>
      </c>
      <c r="F11" s="54">
        <f ca="1">(0.5)*(D11-C11)*($C$9-$D$9)</f>
        <v>2442.9901329184977</v>
      </c>
      <c r="G11" s="54">
        <f ca="1">(C11)*($C$9-$D$9)</f>
        <v>1195.1537226408245</v>
      </c>
      <c r="H11" s="54">
        <f ca="1">(0.5)*($B$9-$C$9)*(C11-B11)</f>
        <v>5939.0440658647376</v>
      </c>
      <c r="I11" s="54">
        <f ca="1">($B$9-$C$9)*B11</f>
        <v>1567.3912479798021</v>
      </c>
      <c r="J11" s="55">
        <f ca="1">SUM(E11:I11)</f>
        <v>12664.862666523317</v>
      </c>
      <c r="K11" s="53">
        <f ca="1">SUMIFS(Damage!$BG$11:$BG$100,Damage!$B$11:$B$100,$A11,Damage!$A$11:$A$100,2)</f>
        <v>275.75456478317648</v>
      </c>
      <c r="L11" s="53">
        <f ca="1">SUMIFS(Damage!$BG$11:$BG$100,Damage!$B$11:$B$100,$A11,Damage!$A$11:$A$100,20)</f>
        <v>12769.807787004411</v>
      </c>
      <c r="M11" s="53">
        <f ca="1">SUMIFS(Damage!$BG$11:$BG$100,Damage!$B$11:$B$100,$A11,Damage!$A$11:$A$100,100)</f>
        <v>99536.511895556017</v>
      </c>
      <c r="N11" s="54">
        <f ca="1">$D$9*M11</f>
        <v>995.36511895556021</v>
      </c>
      <c r="O11" s="54">
        <f ca="1">(0.5)*(M11-L11)*($C$9-$D$9)</f>
        <v>1735.3340821710322</v>
      </c>
      <c r="P11" s="54">
        <f ca="1">(L11)*($C$9-$D$9)</f>
        <v>510.79231148017647</v>
      </c>
      <c r="Q11" s="54">
        <f ca="1">(0.5)*($B$9-$C$9)*(L11-K11)</f>
        <v>2811.1619749997781</v>
      </c>
      <c r="R11" s="54">
        <f ca="1">($B$9-$C$9)*K11</f>
        <v>124.08955415242941</v>
      </c>
      <c r="S11" s="55">
        <f ca="1">SUM(N11:R11)</f>
        <v>6176.7430417589767</v>
      </c>
      <c r="T11" s="56">
        <f ca="1">J11-S11</f>
        <v>6488.1196247643402</v>
      </c>
    </row>
    <row r="12" spans="1:20" x14ac:dyDescent="0.25">
      <c r="A12" s="57" t="s">
        <v>308</v>
      </c>
      <c r="B12" s="58">
        <f>SUMIFS(Damage!$AW$11:$AW$100,Damage!$B$11:$B$100,$A12,Damage!$A$11:$A$100,2)</f>
        <v>0</v>
      </c>
      <c r="C12" s="58">
        <f ca="1">SUMIFS(Damage!$AW$11:$AW$100,Damage!$B$11:$B$100,$A12,Damage!$A$11:$A$100,20)</f>
        <v>6420.7903138414013</v>
      </c>
      <c r="D12" s="58">
        <f ca="1">SUMIFS(Damage!$AW$11:$AW$100,Damage!$B$11:$B$100,$A12,Damage!$A$11:$A$100,100)</f>
        <v>4220744.419424356</v>
      </c>
      <c r="E12" s="59">
        <f ca="1">$D$9*D12</f>
        <v>42207.444194243559</v>
      </c>
      <c r="F12" s="59">
        <f ca="1">(0.5)*(D12-C12)*($C$9-$D$9)</f>
        <v>84286.472582210292</v>
      </c>
      <c r="G12" s="59">
        <f ca="1">(C12)*($C$9-$D$9)</f>
        <v>256.83161255365604</v>
      </c>
      <c r="H12" s="59">
        <f ca="1">(0.5)*($B$9-$C$9)*(C12-B12)</f>
        <v>1444.6778206143154</v>
      </c>
      <c r="I12" s="59">
        <f>($B$9-$C$9)*B12</f>
        <v>0</v>
      </c>
      <c r="J12" s="60">
        <f ca="1">SUM(E12:I12)</f>
        <v>128195.42620962182</v>
      </c>
      <c r="K12" s="58">
        <f>SUMIFS(Damage!$BG$11:$BG$100,Damage!$B$11:$B$100,$A12,Damage!$A$11:$A$100,2)</f>
        <v>0</v>
      </c>
      <c r="L12" s="58">
        <f ca="1">SUMIFS(Damage!$BG$11:$BG$100,Damage!$B$11:$B$100,$A12,Damage!$A$11:$A$100,20)</f>
        <v>6338.3031474196441</v>
      </c>
      <c r="M12" s="58">
        <f ca="1">SUMIFS(Damage!$BG$11:$BG$100,Damage!$B$11:$B$100,$A12,Damage!$A$11:$A$100,100)</f>
        <v>2649887.4112285818</v>
      </c>
      <c r="N12" s="59">
        <f ca="1">$D$9*M12</f>
        <v>26498.874112285819</v>
      </c>
      <c r="O12" s="59">
        <f ca="1">(0.5)*(M12-L12)*($C$9-$D$9)</f>
        <v>52870.982161623244</v>
      </c>
      <c r="P12" s="59">
        <f ca="1">(L12)*($C$9-$D$9)</f>
        <v>253.53212589678577</v>
      </c>
      <c r="Q12" s="59">
        <f ca="1">(0.5)*($B$9-$C$9)*(L12-K12)</f>
        <v>1426.1182081694199</v>
      </c>
      <c r="R12" s="59">
        <f>($B$9-$C$9)*K12</f>
        <v>0</v>
      </c>
      <c r="S12" s="60">
        <f ca="1">SUM(N12:R12)</f>
        <v>81049.506607975272</v>
      </c>
      <c r="T12" s="61">
        <f ca="1">J12-S12</f>
        <v>47145.919601646543</v>
      </c>
    </row>
    <row r="13" spans="1:20" x14ac:dyDescent="0.25">
      <c r="A13" s="62" t="s">
        <v>303</v>
      </c>
      <c r="B13" s="63">
        <f>SUMIFS(Damage!$AW$11:$AW$100,Damage!$B$11:$B$100,$A13,Damage!$A$11:$A$100,2)</f>
        <v>0</v>
      </c>
      <c r="C13" s="63">
        <f>SUMIFS(Damage!$AW$11:$AW$100,Damage!$B$11:$B$100,$A13,Damage!$A$11:$A$100,20)</f>
        <v>0</v>
      </c>
      <c r="D13" s="63">
        <f ca="1">SUMIFS(Damage!$AW$11:$AW$100,Damage!$B$11:$B$100,$A13,Damage!$A$11:$A$100,100)</f>
        <v>2345750.2244013157</v>
      </c>
      <c r="E13" s="64">
        <f ca="1">$D$9*D13</f>
        <v>23457.502244013158</v>
      </c>
      <c r="F13" s="64">
        <f ca="1">(0.5)*(D13-C13)*($C$9-$D$9)</f>
        <v>46915.004488026316</v>
      </c>
      <c r="G13" s="64">
        <f>(C13)*($C$9-$D$9)</f>
        <v>0</v>
      </c>
      <c r="H13" s="64">
        <f>(0.5)*($B$9-$C$9)*(C13-B13)</f>
        <v>0</v>
      </c>
      <c r="I13" s="64">
        <f>($B$9-$C$9)*B13</f>
        <v>0</v>
      </c>
      <c r="J13" s="65">
        <f ca="1">SUM(E13:I13)</f>
        <v>70372.506732039474</v>
      </c>
      <c r="K13" s="63">
        <f>SUMIFS(Damage!$BG$11:$BG$100,Damage!$B$11:$B$100,$A13,Damage!$A$11:$A$100,2)</f>
        <v>0</v>
      </c>
      <c r="L13" s="63">
        <f>SUMIFS(Damage!$BG$11:$BG$100,Damage!$B$11:$B$100,$A13,Damage!$A$11:$A$100,20)</f>
        <v>0</v>
      </c>
      <c r="M13" s="63">
        <f ca="1">SUMIFS(Damage!$BG$11:$BG$100,Damage!$B$11:$B$100,$A13,Damage!$A$11:$A$100,100)</f>
        <v>1050103.0660421406</v>
      </c>
      <c r="N13" s="64">
        <f ca="1">$D$9*M13</f>
        <v>10501.030660421406</v>
      </c>
      <c r="O13" s="64">
        <f ca="1">(0.5)*(M13-L13)*($C$9-$D$9)</f>
        <v>21002.061320842811</v>
      </c>
      <c r="P13" s="64">
        <f>(L13)*($C$9-$D$9)</f>
        <v>0</v>
      </c>
      <c r="Q13" s="64">
        <f>(0.5)*($B$9-$C$9)*(L13-K13)</f>
        <v>0</v>
      </c>
      <c r="R13" s="64">
        <f>($B$9-$C$9)*K13</f>
        <v>0</v>
      </c>
      <c r="S13" s="65">
        <f ca="1">SUM(N13:R13)</f>
        <v>31503.091981264217</v>
      </c>
      <c r="T13" s="66">
        <f ca="1">J13-S13</f>
        <v>38869.414750775257</v>
      </c>
    </row>
    <row r="14" spans="1:20" x14ac:dyDescent="0.25">
      <c r="A14" s="57" t="s">
        <v>433</v>
      </c>
      <c r="B14" s="58"/>
      <c r="C14" s="58"/>
      <c r="D14" s="58"/>
      <c r="E14" s="59"/>
      <c r="F14" s="59"/>
      <c r="G14" s="59"/>
      <c r="H14" s="59"/>
      <c r="I14" s="59"/>
      <c r="J14" s="60"/>
      <c r="K14" s="58"/>
      <c r="L14" s="58"/>
      <c r="M14" s="58"/>
      <c r="N14" s="59"/>
      <c r="O14" s="59"/>
      <c r="P14" s="59"/>
      <c r="Q14" s="59"/>
      <c r="R14" s="59"/>
      <c r="S14" s="60"/>
      <c r="T14" s="61"/>
    </row>
    <row r="15" spans="1:20" x14ac:dyDescent="0.25">
      <c r="A15" s="62" t="s">
        <v>307</v>
      </c>
      <c r="B15" s="63">
        <f ca="1">SUMIFS(Damage!$AW$11:$AW$100,Damage!$B$11:$B$100,$A15,Damage!$A$11:$A$100,2)</f>
        <v>4957.1120852064505</v>
      </c>
      <c r="C15" s="63">
        <f ca="1">SUMIFS(Damage!$AW$11:$AW$100,Damage!$B$11:$B$100,$A15,Damage!$A$11:$A$100,20)</f>
        <v>228333.67079223186</v>
      </c>
      <c r="D15" s="63">
        <f ca="1">SUMIFS(Damage!$AW$11:$AW$100,Damage!$B$11:$B$100,$A15,Damage!$A$11:$A$100,100)</f>
        <v>293794.92996107339</v>
      </c>
      <c r="E15" s="64">
        <f t="shared" ref="E15" ca="1" si="0">$D$9*D15</f>
        <v>2937.9492996107338</v>
      </c>
      <c r="F15" s="64">
        <f t="shared" ref="F15" ca="1" si="1">(0.5)*(D15-C15)*($C$9-$D$9)</f>
        <v>1309.2251833768305</v>
      </c>
      <c r="G15" s="64">
        <f t="shared" ref="G15" ca="1" si="2">(C15)*($C$9-$D$9)</f>
        <v>9133.346831689274</v>
      </c>
      <c r="H15" s="64">
        <f t="shared" ref="H15" ca="1" si="3">(0.5)*($B$9-$C$9)*(C15-B15)</f>
        <v>50259.725709080718</v>
      </c>
      <c r="I15" s="64">
        <f t="shared" ref="I15" ca="1" si="4">($B$9-$C$9)*B15</f>
        <v>2230.700438342903</v>
      </c>
      <c r="J15" s="65">
        <f t="shared" ref="J15" ca="1" si="5">SUM(E15:I15)</f>
        <v>65870.947462100463</v>
      </c>
      <c r="K15" s="63">
        <f>SUMIFS(Damage!$BG$11:$BG$100,Damage!$B$11:$B$100,$A15,Damage!$A$11:$A$100,2)</f>
        <v>0</v>
      </c>
      <c r="L15" s="63">
        <f ca="1">SUMIFS(Damage!$BG$11:$BG$100,Damage!$B$11:$B$100,$A15,Damage!$A$11:$A$100,20)</f>
        <v>127192.00648214642</v>
      </c>
      <c r="M15" s="63">
        <f ca="1">SUMIFS(Damage!$BG$11:$BG$100,Damage!$B$11:$B$100,$A15,Damage!$A$11:$A$100,100)</f>
        <v>216581.65811183921</v>
      </c>
      <c r="N15" s="64">
        <f t="shared" ref="N15" ca="1" si="6">$D$9*M15</f>
        <v>2165.8165811183922</v>
      </c>
      <c r="O15" s="64">
        <f t="shared" ref="O15" ca="1" si="7">(0.5)*(M15-L15)*($C$9-$D$9)</f>
        <v>1787.7930325938557</v>
      </c>
      <c r="P15" s="64">
        <f t="shared" ref="P15" ca="1" si="8">(L15)*($C$9-$D$9)</f>
        <v>5087.6802592858567</v>
      </c>
      <c r="Q15" s="64">
        <f t="shared" ref="Q15" ca="1" si="9">(0.5)*($B$9-$C$9)*(L15-K15)</f>
        <v>28618.201458482945</v>
      </c>
      <c r="R15" s="64">
        <f t="shared" ref="R15" si="10">($B$9-$C$9)*K15</f>
        <v>0</v>
      </c>
      <c r="S15" s="65">
        <f t="shared" ref="S15" ca="1" si="11">SUM(N15:R15)</f>
        <v>37659.491331481047</v>
      </c>
      <c r="T15" s="66">
        <f t="shared" ref="T15" ca="1" si="12">J15-S15</f>
        <v>28211.456130619415</v>
      </c>
    </row>
    <row r="16" spans="1:20" x14ac:dyDescent="0.25">
      <c r="A16" s="67" t="s">
        <v>301</v>
      </c>
      <c r="B16" s="68">
        <f>SUMIFS(Damage!$AW$11:$AW$100,Damage!$B$11:$B$100,$A16,Damage!$A$11:$A$100,2)</f>
        <v>0</v>
      </c>
      <c r="C16" s="68">
        <f ca="1">SUMIFS(Damage!$AW$11:$AW$100,Damage!$B$11:$B$100,$A16,Damage!$A$11:$A$100,20)</f>
        <v>21983.11668542181</v>
      </c>
      <c r="D16" s="68">
        <f ca="1">SUMIFS(Damage!$AW$11:$AW$100,Damage!$B$11:$B$100,$A16,Damage!$A$11:$A$100,100)</f>
        <v>192959.10986534506</v>
      </c>
      <c r="E16" s="69">
        <f t="shared" ref="E16" ca="1" si="13">$D$9*D16</f>
        <v>1929.5910986534507</v>
      </c>
      <c r="F16" s="69">
        <f t="shared" ref="F16" ca="1" si="14">(0.5)*(D16-C16)*($C$9-$D$9)</f>
        <v>3419.5198635984648</v>
      </c>
      <c r="G16" s="69">
        <f t="shared" ref="G16" ca="1" si="15">(C16)*($C$9-$D$9)</f>
        <v>879.32466741687244</v>
      </c>
      <c r="H16" s="69">
        <f t="shared" ref="H16" ca="1" si="16">(0.5)*($B$9-$C$9)*(C16-B16)</f>
        <v>4946.2012542199072</v>
      </c>
      <c r="I16" s="69">
        <f t="shared" ref="I16" si="17">($B$9-$C$9)*B16</f>
        <v>0</v>
      </c>
      <c r="J16" s="70">
        <f t="shared" ref="J16" ca="1" si="18">SUM(E16:I16)</f>
        <v>11174.636883888696</v>
      </c>
      <c r="K16" s="68">
        <f>SUMIFS(Damage!$BG$11:$BG$100,Damage!$B$11:$B$100,$A16,Damage!$A$11:$A$100,2)</f>
        <v>0</v>
      </c>
      <c r="L16" s="68">
        <f ca="1">SUMIFS(Damage!$BG$11:$BG$100,Damage!$B$11:$B$100,$A16,Damage!$A$11:$A$100,20)</f>
        <v>13367.960686349303</v>
      </c>
      <c r="M16" s="68">
        <f ca="1">SUMIFS(Damage!$BG$11:$BG$100,Damage!$B$11:$B$100,$A16,Damage!$A$11:$A$100,100)</f>
        <v>162180.88689858862</v>
      </c>
      <c r="N16" s="69">
        <f t="shared" ref="N16" ca="1" si="19">$D$9*M16</f>
        <v>1621.8088689858862</v>
      </c>
      <c r="O16" s="69">
        <f t="shared" ref="O16" ca="1" si="20">(0.5)*(M16-L16)*($C$9-$D$9)</f>
        <v>2976.2585242447863</v>
      </c>
      <c r="P16" s="69">
        <f t="shared" ref="P16" ca="1" si="21">(L16)*($C$9-$D$9)</f>
        <v>534.71842745397214</v>
      </c>
      <c r="Q16" s="69">
        <f t="shared" ref="Q16" ca="1" si="22">(0.5)*($B$9-$C$9)*(L16-K16)</f>
        <v>3007.791154428593</v>
      </c>
      <c r="R16" s="69">
        <f t="shared" ref="R16" si="23">($B$9-$C$9)*K16</f>
        <v>0</v>
      </c>
      <c r="S16" s="70">
        <f t="shared" ref="S16" ca="1" si="24">SUM(N16:R16)</f>
        <v>8140.5769751132375</v>
      </c>
      <c r="T16" s="71">
        <f t="shared" ref="T16" ca="1" si="25">J16-S16</f>
        <v>3034.0599087754581</v>
      </c>
    </row>
    <row r="17" spans="1:20" x14ac:dyDescent="0.25">
      <c r="A17" t="s">
        <v>306</v>
      </c>
      <c r="B17" s="68">
        <f ca="1">SUMIFS(Damage!$AW$11:$AW$100,Damage!$B$11:$B$100,$A17,Damage!$A$11:$A$100,2)</f>
        <v>18495.294066945335</v>
      </c>
      <c r="C17" s="68">
        <f ca="1">SUMIFS(Damage!$AW$11:$AW$100,Damage!$B$11:$B$100,$A17,Damage!$A$11:$A$100,20)</f>
        <v>77275.758548913611</v>
      </c>
      <c r="D17" s="68">
        <f ca="1">SUMIFS(Damage!$AW$11:$AW$100,Damage!$B$11:$B$100,$A17,Damage!$A$11:$A$100,100)</f>
        <v>180033.07300893028</v>
      </c>
      <c r="E17" s="69">
        <f t="shared" ref="E17" ca="1" si="26">$D$9*D17</f>
        <v>1800.330730089303</v>
      </c>
      <c r="F17" s="69">
        <f t="shared" ref="F17" ca="1" si="27">(0.5)*(D17-C17)*($C$9-$D$9)</f>
        <v>2055.1462892003333</v>
      </c>
      <c r="G17" s="69">
        <f t="shared" ref="G17" ca="1" si="28">(C17)*($C$9-$D$9)</f>
        <v>3091.0303419565444</v>
      </c>
      <c r="H17" s="69">
        <f t="shared" ref="H17" ca="1" si="29">(0.5)*($B$9-$C$9)*(C17-B17)</f>
        <v>13225.604508442862</v>
      </c>
      <c r="I17" s="69">
        <f t="shared" ref="I17" ca="1" si="30">($B$9-$C$9)*B17</f>
        <v>8322.8823301254015</v>
      </c>
      <c r="J17" s="70">
        <f t="shared" ref="J17" ca="1" si="31">SUM(E17:I17)</f>
        <v>28494.994199814442</v>
      </c>
      <c r="K17" s="68">
        <f>SUMIFS(Damage!$BG$11:$BG$100,Damage!$B$11:$B$100,$A17,Damage!$A$11:$A$100,2)</f>
        <v>0</v>
      </c>
      <c r="L17" s="68">
        <f ca="1">SUMIFS(Damage!$BG$11:$BG$100,Damage!$B$11:$B$100,$A17,Damage!$A$11:$A$100,20)</f>
        <v>74862.127073358162</v>
      </c>
      <c r="M17" s="68">
        <f ca="1">SUMIFS(Damage!$BG$11:$BG$100,Damage!$B$11:$B$100,$A17,Damage!$A$11:$A$100,100)</f>
        <v>167559.03997576211</v>
      </c>
      <c r="N17" s="69">
        <f t="shared" ref="N17" ca="1" si="32">$D$9*M17</f>
        <v>1675.5903997576211</v>
      </c>
      <c r="O17" s="69">
        <f t="shared" ref="O17" ca="1" si="33">(0.5)*(M17-L17)*($C$9-$D$9)</f>
        <v>1853.938258048079</v>
      </c>
      <c r="P17" s="69">
        <f t="shared" ref="P17" ca="1" si="34">(L17)*($C$9-$D$9)</f>
        <v>2994.4850829343263</v>
      </c>
      <c r="Q17" s="69">
        <f t="shared" ref="Q17" ca="1" si="35">(0.5)*($B$9-$C$9)*(L17-K17)</f>
        <v>16843.978591505587</v>
      </c>
      <c r="R17" s="69">
        <f t="shared" ref="R17" si="36">($B$9-$C$9)*K17</f>
        <v>0</v>
      </c>
      <c r="S17" s="70">
        <f t="shared" ref="S17" ca="1" si="37">SUM(N17:R17)</f>
        <v>23367.992332245616</v>
      </c>
      <c r="T17" s="71">
        <f t="shared" ref="T17" ca="1" si="38">J17-S17</f>
        <v>5127.0018675688261</v>
      </c>
    </row>
    <row r="18" spans="1:20" x14ac:dyDescent="0.25">
      <c r="A18" t="s">
        <v>304</v>
      </c>
      <c r="B18" s="68">
        <f ca="1">SUMIFS(Damage!$AW$11:$AW$100,Damage!$B$11:$B$100,$A18,Damage!$A$11:$A$100,2)</f>
        <v>87176.146497268768</v>
      </c>
      <c r="C18" s="68">
        <f ca="1">SUMIFS(Damage!$AW$11:$AW$100,Damage!$B$11:$B$100,$A18,Damage!$A$11:$A$100,20)</f>
        <v>165986.2886228821</v>
      </c>
      <c r="D18" s="68">
        <f ca="1">SUMIFS(Damage!$AW$11:$AW$100,Damage!$B$11:$B$100,$A18,Damage!$A$11:$A$100,100)</f>
        <v>284464.21527988749</v>
      </c>
      <c r="E18" s="69">
        <f t="shared" ref="E18:E19" ca="1" si="39">$D$9*D18</f>
        <v>2844.642152798875</v>
      </c>
      <c r="F18" s="69">
        <f t="shared" ref="F18:F19" ca="1" si="40">(0.5)*(D18-C18)*($C$9-$D$9)</f>
        <v>2369.558533140108</v>
      </c>
      <c r="G18" s="69">
        <f t="shared" ref="G18:G19" ca="1" si="41">(C18)*($C$9-$D$9)</f>
        <v>6639.4515449152841</v>
      </c>
      <c r="H18" s="69">
        <f t="shared" ref="H18:H19" ca="1" si="42">(0.5)*($B$9-$C$9)*(C18-B18)</f>
        <v>17732.281978262999</v>
      </c>
      <c r="I18" s="69">
        <f t="shared" ref="I18:I19" ca="1" si="43">($B$9-$C$9)*B18</f>
        <v>39229.265923770945</v>
      </c>
      <c r="J18" s="70">
        <f t="shared" ref="J18:J19" ca="1" si="44">SUM(E18:I18)</f>
        <v>68815.200132888218</v>
      </c>
      <c r="K18" s="68">
        <f ca="1">SUMIFS(Damage!$BG$11:$BG$100,Damage!$B$11:$B$100,$A18,Damage!$A$11:$A$100,2)</f>
        <v>76782.454064771315</v>
      </c>
      <c r="L18" s="68">
        <f ca="1">SUMIFS(Damage!$BG$11:$BG$100,Damage!$B$11:$B$100,$A18,Damage!$A$11:$A$100,20)</f>
        <v>156614.30176164102</v>
      </c>
      <c r="M18" s="68">
        <f ca="1">SUMIFS(Damage!$BG$11:$BG$100,Damage!$B$11:$B$100,$A18,Damage!$A$11:$A$100,100)</f>
        <v>281642.97525871813</v>
      </c>
      <c r="N18" s="69">
        <f t="shared" ref="N18:N19" ca="1" si="45">$D$9*M18</f>
        <v>2816.4297525871812</v>
      </c>
      <c r="O18" s="69">
        <f t="shared" ref="O18:O19" ca="1" si="46">(0.5)*(M18-L18)*($C$9-$D$9)</f>
        <v>2500.573469941542</v>
      </c>
      <c r="P18" s="69">
        <f t="shared" ref="P18:P19" ca="1" si="47">(L18)*($C$9-$D$9)</f>
        <v>6264.5720704656414</v>
      </c>
      <c r="Q18" s="69">
        <f t="shared" ref="Q18:Q19" ca="1" si="48">(0.5)*($B$9-$C$9)*(L18-K18)</f>
        <v>17962.165731795685</v>
      </c>
      <c r="R18" s="69">
        <f t="shared" ref="R18:R19" ca="1" si="49">($B$9-$C$9)*K18</f>
        <v>34552.104329147092</v>
      </c>
      <c r="S18" s="70">
        <f t="shared" ref="S18:S19" ca="1" si="50">SUM(N18:R18)</f>
        <v>64095.84535393714</v>
      </c>
      <c r="T18" s="71">
        <f t="shared" ref="T18:T19" ca="1" si="51">J18-S18</f>
        <v>4719.3547789510776</v>
      </c>
    </row>
    <row r="19" spans="1:20" x14ac:dyDescent="0.25">
      <c r="A19" t="s">
        <v>300</v>
      </c>
      <c r="B19" s="68">
        <f>SUMIFS(Damage!$AW$11:$AW$100,Damage!$B$11:$B$100,$A19,Damage!$A$11:$A$100,2)</f>
        <v>0</v>
      </c>
      <c r="C19" s="68">
        <f>SUMIFS(Damage!$AW$11:$AW$100,Damage!$B$11:$B$100,$A19,Damage!$A$11:$A$100,20)</f>
        <v>0</v>
      </c>
      <c r="D19" s="68">
        <f ca="1">SUMIFS(Damage!$AW$11:$AW$100,Damage!$B$11:$B$100,$A19,Damage!$A$11:$A$100,100)</f>
        <v>125502.31083264935</v>
      </c>
      <c r="E19" s="69">
        <f t="shared" ca="1" si="39"/>
        <v>1255.0231083264935</v>
      </c>
      <c r="F19" s="69">
        <f t="shared" ca="1" si="40"/>
        <v>2510.0462166529869</v>
      </c>
      <c r="G19" s="69">
        <f t="shared" si="41"/>
        <v>0</v>
      </c>
      <c r="H19" s="69">
        <f t="shared" si="42"/>
        <v>0</v>
      </c>
      <c r="I19" s="69">
        <f t="shared" si="43"/>
        <v>0</v>
      </c>
      <c r="J19" s="70">
        <f t="shared" ca="1" si="44"/>
        <v>3765.0693249794804</v>
      </c>
      <c r="K19" s="68">
        <f>SUMIFS(Damage!$BG$11:$BG$100,Damage!$B$11:$B$100,$A19,Damage!$A$11:$A$100,2)</f>
        <v>0</v>
      </c>
      <c r="L19" s="68">
        <f>SUMIFS(Damage!$BG$11:$BG$100,Damage!$B$11:$B$100,$A19,Damage!$A$11:$A$100,20)</f>
        <v>0</v>
      </c>
      <c r="M19" s="68">
        <f ca="1">SUMIFS(Damage!$BG$11:$BG$100,Damage!$B$11:$B$100,$A19,Damage!$A$11:$A$100,100)</f>
        <v>76683.647817852383</v>
      </c>
      <c r="N19" s="69">
        <f t="shared" ca="1" si="45"/>
        <v>766.83647817852386</v>
      </c>
      <c r="O19" s="69">
        <f t="shared" ca="1" si="46"/>
        <v>1533.6729563570477</v>
      </c>
      <c r="P19" s="69">
        <f t="shared" si="47"/>
        <v>0</v>
      </c>
      <c r="Q19" s="69">
        <f t="shared" si="48"/>
        <v>0</v>
      </c>
      <c r="R19" s="69">
        <f t="shared" si="49"/>
        <v>0</v>
      </c>
      <c r="S19" s="70">
        <f t="shared" ca="1" si="50"/>
        <v>2300.5094345355715</v>
      </c>
      <c r="T19" s="71">
        <f t="shared" ca="1" si="51"/>
        <v>1464.5598904439089</v>
      </c>
    </row>
  </sheetData>
  <mergeCells count="7">
    <mergeCell ref="T8:T10"/>
    <mergeCell ref="B8:J8"/>
    <mergeCell ref="K8:S8"/>
    <mergeCell ref="E9:I9"/>
    <mergeCell ref="J9:J10"/>
    <mergeCell ref="N9:R9"/>
    <mergeCell ref="S9:S10"/>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H100"/>
  <sheetViews>
    <sheetView zoomScale="90" zoomScaleNormal="90" workbookViewId="0">
      <pane xSplit="4" ySplit="10" topLeftCell="AN11" activePane="bottomRight" state="frozen"/>
      <selection pane="topRight" activeCell="E1" sqref="E1"/>
      <selection pane="bottomLeft" activeCell="A11" sqref="A11"/>
      <selection pane="bottomRight" activeCell="BI1" sqref="BI1:BJ1048576"/>
    </sheetView>
  </sheetViews>
  <sheetFormatPr defaultRowHeight="15" x14ac:dyDescent="0.25"/>
  <cols>
    <col min="1" max="1" width="14.28515625" customWidth="1"/>
    <col min="2" max="2" width="14.85546875" customWidth="1"/>
    <col min="3" max="3" width="6.85546875" customWidth="1"/>
    <col min="4" max="4" width="27.42578125" customWidth="1"/>
    <col min="12" max="12" width="23.5703125" customWidth="1"/>
    <col min="13" max="13" width="10" customWidth="1"/>
    <col min="18" max="18" width="29.85546875" customWidth="1"/>
    <col min="29" max="29" width="11.85546875" customWidth="1"/>
    <col min="33" max="33" width="11" customWidth="1"/>
    <col min="34" max="34" width="4.140625" customWidth="1"/>
    <col min="35" max="35" width="23.85546875" customWidth="1"/>
    <col min="36" max="36" width="5" customWidth="1"/>
    <col min="37" max="37" width="9.85546875" customWidth="1"/>
    <col min="38" max="38" width="13.140625" customWidth="1"/>
    <col min="39" max="39" width="18" customWidth="1"/>
    <col min="60" max="60" width="3.85546875" customWidth="1"/>
  </cols>
  <sheetData>
    <row r="1" spans="1:60" hidden="1" x14ac:dyDescent="0.25"/>
    <row r="2" spans="1:60" hidden="1" x14ac:dyDescent="0.25"/>
    <row r="3" spans="1:60" hidden="1" x14ac:dyDescent="0.25"/>
    <row r="4" spans="1:60" hidden="1" x14ac:dyDescent="0.25"/>
    <row r="5" spans="1:60" hidden="1" x14ac:dyDescent="0.25"/>
    <row r="6" spans="1:60" hidden="1" x14ac:dyDescent="0.25"/>
    <row r="7" spans="1:60" hidden="1" x14ac:dyDescent="0.25"/>
    <row r="8" spans="1:60" hidden="1" x14ac:dyDescent="0.25"/>
    <row r="9" spans="1:60" x14ac:dyDescent="0.25">
      <c r="A9" s="121" t="s">
        <v>85</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28"/>
      <c r="AL9" s="122" t="s">
        <v>90</v>
      </c>
      <c r="AM9" s="122"/>
      <c r="AN9" s="26" t="s">
        <v>87</v>
      </c>
      <c r="AO9" s="26"/>
      <c r="AP9" s="26"/>
      <c r="AQ9" s="26"/>
      <c r="AR9" s="26"/>
      <c r="AS9" s="26"/>
      <c r="AT9" s="26"/>
      <c r="AU9" s="26"/>
      <c r="AV9" s="26"/>
      <c r="AW9" s="26"/>
      <c r="AX9" s="109" t="s">
        <v>49</v>
      </c>
      <c r="AY9" s="109"/>
      <c r="AZ9" s="109"/>
      <c r="BA9" s="109"/>
      <c r="BB9" s="109"/>
      <c r="BC9" s="109"/>
      <c r="BD9" s="109"/>
      <c r="BE9" s="109"/>
      <c r="BF9" s="109"/>
      <c r="BG9" s="109"/>
    </row>
    <row r="10" spans="1:60" ht="134.25" customHeight="1" x14ac:dyDescent="0.25">
      <c r="A10" s="24" t="str">
        <f>Inputs!A10</f>
        <v>Scenario (year: 2-year, 20-year, 100-year)</v>
      </c>
      <c r="B10" s="24" t="str">
        <f>Inputs!B10</f>
        <v>Project ID</v>
      </c>
      <c r="C10" s="24" t="str">
        <f>Inputs!C10</f>
        <v>Site ID</v>
      </c>
      <c r="D10" s="24" t="str">
        <f>Inputs!D10</f>
        <v>UID</v>
      </c>
      <c r="E10" s="25" t="str">
        <f>Inputs!E10</f>
        <v>Base Flood Elevation (BFE)  (feet)</v>
      </c>
      <c r="F10" s="25" t="str">
        <f>Inputs!F10</f>
        <v>Empty, Hold for future use</v>
      </c>
      <c r="G10" s="24" t="str">
        <f>Inputs!G10</f>
        <v>Building Footprint Area (sq m)</v>
      </c>
      <c r="H10" s="24" t="str">
        <f>Inputs!H10</f>
        <v>PreDepthMx (m)</v>
      </c>
      <c r="I10" s="24" t="str">
        <f>Inputs!I10</f>
        <v>PostDepthMx (m)</v>
      </c>
      <c r="J10" s="24" t="str">
        <f>Inputs!J10</f>
        <v>DepthDiff (m)</v>
      </c>
      <c r="K10" s="24" t="str">
        <f>Inputs!K10</f>
        <v>FFE 
(feet)</v>
      </c>
      <c r="L10" s="24" t="str">
        <f>Inputs!L10</f>
        <v xml:space="preserve">Located in Floodplain (R = In 100-Year Riverine Floodplain; C = In 100-Year Coastal Floodplain; and NO = Not in 100-Year Floodplain) </v>
      </c>
      <c r="M10" s="24" t="str">
        <f>Inputs!M10</f>
        <v>GIS_Notes</v>
      </c>
      <c r="N10" s="24" t="str">
        <f>Inputs!N10</f>
        <v>PreDepthMx (ft)</v>
      </c>
      <c r="O10" s="24" t="str">
        <f>Inputs!O10</f>
        <v>PostDepthMx (ft)</v>
      </c>
      <c r="P10" s="24" t="str">
        <f>Inputs!P10</f>
        <v>DepthDiff (ft)</v>
      </c>
      <c r="Q10" s="24" t="str">
        <f>Inputs!Q10</f>
        <v>Building Footprint Area (sq ft)</v>
      </c>
      <c r="R10" s="24" t="str">
        <f>Inputs!R10</f>
        <v>Value Source</v>
      </c>
      <c r="S10" s="24" t="str">
        <f>Inputs!S10</f>
        <v>Parcel_ID</v>
      </c>
      <c r="T10" s="24" t="str">
        <f>Inputs!T10</f>
        <v>Assess_Value</v>
      </c>
      <c r="U10" s="24" t="str">
        <f>Inputs!U10</f>
        <v>Replace_Value</v>
      </c>
      <c r="V10" s="24" t="str">
        <f>Inputs!V10</f>
        <v>Dollar_Year</v>
      </c>
      <c r="W10" s="24" t="str">
        <f>Inputs!W10</f>
        <v>Year</v>
      </c>
      <c r="X10" s="24" t="str">
        <f>Inputs!X10</f>
        <v>Type</v>
      </c>
      <c r="Y10" s="24" t="str">
        <f>Inputs!Y10</f>
        <v>Recreational</v>
      </c>
      <c r="Z10" s="24" t="str">
        <f>Inputs!Z10</f>
        <v>Foundation</v>
      </c>
      <c r="AA10" s="24" t="str">
        <f>Inputs!AA10</f>
        <v>Sq_Ft</v>
      </c>
      <c r="AB10" s="24" t="str">
        <f>Inputs!AB10</f>
        <v>Stories</v>
      </c>
      <c r="AC10" s="24" t="str">
        <f>Inputs!AC10</f>
        <v>Final FFE (overwrite  county average if Foundation is Elevated)(feet)</v>
      </c>
      <c r="AD10" s="24" t="str">
        <f>Inputs!AD10</f>
        <v>Hazus Replacement Value per square foot unless noted in column AG (based on column Y)</v>
      </c>
      <c r="AE10" s="24" t="str">
        <f>Inputs!AE10</f>
        <v>Hazus Replacement Dollar</v>
      </c>
      <c r="AF10" s="24" t="str">
        <f>Inputs!AF10</f>
        <v>Hazus Replacement Value note</v>
      </c>
      <c r="AG10" s="24" t="str">
        <f>Inputs!AG10</f>
        <v>Population Multiplier</v>
      </c>
      <c r="AH10" s="24" t="str">
        <f>Inputs!AH10</f>
        <v>Link</v>
      </c>
      <c r="AI10" s="24" t="str">
        <f>Inputs!AI10</f>
        <v>Building Attribute_Notes</v>
      </c>
      <c r="AJ10" s="24" t="str">
        <f>Inputs!AJ10</f>
        <v>Address</v>
      </c>
      <c r="AK10" s="24" t="s">
        <v>105</v>
      </c>
      <c r="AL10" s="24" t="s">
        <v>91</v>
      </c>
      <c r="AM10" s="24" t="s">
        <v>88</v>
      </c>
      <c r="AN10" s="1" t="s">
        <v>40</v>
      </c>
      <c r="AO10" s="1" t="s">
        <v>41</v>
      </c>
      <c r="AP10" s="1" t="s">
        <v>43</v>
      </c>
      <c r="AQ10" s="1" t="s">
        <v>44</v>
      </c>
      <c r="AR10" s="1" t="s">
        <v>45</v>
      </c>
      <c r="AS10" s="1" t="s">
        <v>46</v>
      </c>
      <c r="AT10" s="1" t="s">
        <v>42</v>
      </c>
      <c r="AU10" s="1" t="s">
        <v>47</v>
      </c>
      <c r="AV10" s="1" t="s">
        <v>48</v>
      </c>
      <c r="AW10" s="1" t="s">
        <v>53</v>
      </c>
      <c r="AX10" s="1" t="s">
        <v>50</v>
      </c>
      <c r="AY10" s="1" t="s">
        <v>41</v>
      </c>
      <c r="AZ10" s="1" t="s">
        <v>43</v>
      </c>
      <c r="BA10" s="1" t="s">
        <v>44</v>
      </c>
      <c r="BB10" s="1" t="s">
        <v>45</v>
      </c>
      <c r="BC10" s="1" t="s">
        <v>46</v>
      </c>
      <c r="BD10" s="1" t="s">
        <v>42</v>
      </c>
      <c r="BE10" s="1" t="s">
        <v>47</v>
      </c>
      <c r="BF10" s="1" t="s">
        <v>48</v>
      </c>
      <c r="BG10" s="1" t="s">
        <v>53</v>
      </c>
      <c r="BH10" s="24"/>
    </row>
    <row r="11" spans="1:60" x14ac:dyDescent="0.25">
      <c r="A11">
        <f>Inputs!A11</f>
        <v>2</v>
      </c>
      <c r="B11" t="str">
        <f>Inputs!B11</f>
        <v>USFWS-15</v>
      </c>
      <c r="C11">
        <f>Inputs!C11</f>
        <v>1</v>
      </c>
      <c r="D11" t="str">
        <f>Inputs!D11</f>
        <v>DE_USFWS_15_0001</v>
      </c>
      <c r="E11">
        <f>Inputs!E11</f>
        <v>11</v>
      </c>
      <c r="F11">
        <f>Inputs!F11</f>
        <v>0</v>
      </c>
      <c r="G11">
        <f>Inputs!G11</f>
        <v>122.303798</v>
      </c>
      <c r="H11">
        <f>Inputs!H11</f>
        <v>0.52612300000000001</v>
      </c>
      <c r="I11">
        <f>Inputs!I11</f>
        <v>0.30612299999999998</v>
      </c>
      <c r="J11">
        <f>Inputs!J11</f>
        <v>0.22</v>
      </c>
      <c r="K11">
        <f>Inputs!K11</f>
        <v>1</v>
      </c>
      <c r="L11" t="str">
        <f>Inputs!L11</f>
        <v>C</v>
      </c>
      <c r="M11">
        <f>Inputs!M11</f>
        <v>0</v>
      </c>
      <c r="N11">
        <f>Inputs!N11</f>
        <v>1.7261253833200001</v>
      </c>
      <c r="O11">
        <f>Inputs!O11</f>
        <v>1.0043405833199999</v>
      </c>
      <c r="P11">
        <f>Inputs!P11</f>
        <v>0.7217848</v>
      </c>
      <c r="Q11">
        <f>Inputs!Q11</f>
        <v>1316.4658512921999</v>
      </c>
      <c r="R11" t="str">
        <f>Inputs!R11</f>
        <v>RSMeans - median garage (46)</v>
      </c>
      <c r="S11" t="str">
        <f>Inputs!S11</f>
        <v>230-16.00-7.04</v>
      </c>
      <c r="T11">
        <f>Inputs!T11</f>
        <v>0</v>
      </c>
      <c r="U11">
        <f>Inputs!U11</f>
        <v>19780</v>
      </c>
      <c r="V11">
        <f>IF(Inputs!V11=0,2020,Inputs!V11)</f>
        <v>2006</v>
      </c>
      <c r="W11">
        <f>Inputs!W11</f>
        <v>1992</v>
      </c>
      <c r="X11" t="str">
        <f>IF(Inputs!X11=0,"UNK",Inputs!X11)</f>
        <v>RES1</v>
      </c>
      <c r="Y11" t="str">
        <f>Inputs!Y11</f>
        <v>No</v>
      </c>
      <c r="Z11" t="str">
        <f>Inputs!Z11</f>
        <v>Slab</v>
      </c>
      <c r="AA11">
        <f>Inputs!AA11</f>
        <v>1316.4658512921999</v>
      </c>
      <c r="AB11">
        <f>IF(Z11="Piers",MIN(2,Inputs!AB11),Inputs!AB11)</f>
        <v>1</v>
      </c>
      <c r="AC11">
        <f>Inputs!AC11</f>
        <v>1</v>
      </c>
      <c r="AD11">
        <f>Inputs!AD11</f>
        <v>19780</v>
      </c>
      <c r="AE11">
        <f>Inputs!AE11</f>
        <v>2006</v>
      </c>
      <c r="AF11" t="str">
        <f>Inputs!AF11</f>
        <v>average additional garage cost per residence</v>
      </c>
      <c r="AG11">
        <v>0</v>
      </c>
      <c r="AH11" t="str">
        <f>Inputs!AH11</f>
        <v>https://property.sussexcountyde.gov/idoc_documents/230-16.00-7.04.pdf</v>
      </c>
      <c r="AI11" t="str">
        <f>Inputs!AI11</f>
        <v>This garage is associated with object with the same parcel ID</v>
      </c>
      <c r="AJ11" t="str">
        <f>Inputs!AJ11</f>
        <v>9117 CODS RD MILFORD DE 19963</v>
      </c>
      <c r="AK11" t="str">
        <f t="shared" ref="AK11:AK42" si="0">VLOOKUP(X11,Btype,2,0)</f>
        <v>Res</v>
      </c>
      <c r="AL11" t="str">
        <f>IF(AK11="Res",X11&amp;"."&amp;AB11&amp;"."&amp;Z11,X11)</f>
        <v>RES1.1.Slab</v>
      </c>
      <c r="AM11">
        <f t="shared" ref="AM11:AM42" si="1">VLOOKUP(AL11,DDFID,2,0)</f>
        <v>1</v>
      </c>
      <c r="AN11">
        <f>IF(N11&lt;0,-99,N11-AC11)</f>
        <v>0.7261253833200001</v>
      </c>
      <c r="AO11">
        <f t="shared" ref="AO11:AO42" si="2">MATCH(AN11,DDF,1)</f>
        <v>12</v>
      </c>
      <c r="AP11">
        <f ca="1">OFFSET(Coastal_DDF!$F$10,0,AO11,1,1)</f>
        <v>0.5</v>
      </c>
      <c r="AQ11">
        <f ca="1">OFFSET(Coastal_DDF!$F$10,0,AO11+1,1,1)</f>
        <v>1</v>
      </c>
      <c r="AR11">
        <f ca="1">OFFSET(Coastal_DDF!$F$10,AM11,AO11,1,1)</f>
        <v>10</v>
      </c>
      <c r="AS11">
        <f ca="1">OFFSET(Coastal_DDF!$F$10,AM11,AO11+1,1,1)</f>
        <v>18</v>
      </c>
      <c r="AT11">
        <f ca="1">(AS11-AR11)/(AQ11-AP11)</f>
        <v>16</v>
      </c>
      <c r="AU11">
        <f ca="1">AR11+(AN11-AP11)*AT11</f>
        <v>13.618006133120002</v>
      </c>
      <c r="AV11">
        <f ca="1">(AU11/100)*U11</f>
        <v>2693.6416131311362</v>
      </c>
      <c r="AW11">
        <f t="shared" ref="AW11:AW42" ca="1" si="3">IF(AN11=-99,0,AV11*VLOOKUP(V11,CCI,2,FALSE))</f>
        <v>3483.0916621773376</v>
      </c>
      <c r="AX11">
        <f>IF(O11&lt;0,-99,O11-AC11)</f>
        <v>4.3405833199998689E-3</v>
      </c>
      <c r="AY11">
        <f t="shared" ref="AY11:AY42" si="4">MATCH(AX11,DDF,1)</f>
        <v>11</v>
      </c>
      <c r="AZ11">
        <f ca="1">OFFSET(Coastal_DDF!$F$10,0,AY11,1,1)</f>
        <v>0</v>
      </c>
      <c r="BA11">
        <f ca="1">OFFSET(Coastal_DDF!$F$10,0,AY11+1,1,1)</f>
        <v>0.5</v>
      </c>
      <c r="BB11">
        <f ca="1">OFFSET(Coastal_DDF!$F$10,AM11,AY11,1,1)</f>
        <v>1</v>
      </c>
      <c r="BC11">
        <f ca="1">OFFSET(Coastal_DDF!$F$10,AM11,AY11+1,1,1)</f>
        <v>10</v>
      </c>
      <c r="BD11">
        <f ca="1">(BC11-BB11)/(BA11-AZ11)</f>
        <v>18</v>
      </c>
      <c r="BE11">
        <f ca="1">BB11+(AX11-AZ11)*BD11</f>
        <v>1.0781304997599976</v>
      </c>
      <c r="BF11">
        <f ca="1">(BE11/100)*U11</f>
        <v>213.25421285252753</v>
      </c>
      <c r="BG11">
        <f t="shared" ref="BG11:BG42" ca="1" si="5">IF(AX11=-99,0,BF11*VLOOKUP(V11,CCI,2,FALSE))</f>
        <v>275.75456478317648</v>
      </c>
    </row>
    <row r="12" spans="1:60" x14ac:dyDescent="0.25">
      <c r="A12">
        <f>Inputs!A12</f>
        <v>2</v>
      </c>
      <c r="B12" t="str">
        <f>Inputs!B12</f>
        <v>USFWS-15</v>
      </c>
      <c r="C12">
        <f>Inputs!C12</f>
        <v>1</v>
      </c>
      <c r="D12" t="str">
        <f>Inputs!D12</f>
        <v>DE_USFWS_15_0004</v>
      </c>
      <c r="E12">
        <f>Inputs!E12</f>
        <v>11</v>
      </c>
      <c r="F12">
        <f>Inputs!F12</f>
        <v>0</v>
      </c>
      <c r="G12">
        <f>Inputs!G12</f>
        <v>215.51209</v>
      </c>
      <c r="H12">
        <f>Inputs!H12</f>
        <v>0.101313</v>
      </c>
      <c r="I12">
        <f>Inputs!I12</f>
        <v>-0.118687</v>
      </c>
      <c r="J12">
        <f>Inputs!J12</f>
        <v>0.101313</v>
      </c>
      <c r="K12">
        <f>Inputs!K12</f>
        <v>1</v>
      </c>
      <c r="L12" t="str">
        <f>Inputs!L12</f>
        <v>C</v>
      </c>
      <c r="M12">
        <f>Inputs!M12</f>
        <v>0</v>
      </c>
      <c r="N12">
        <f>Inputs!N12</f>
        <v>0.33239174292000001</v>
      </c>
      <c r="O12">
        <f>Inputs!O12</f>
        <v>-0.38939305707999999</v>
      </c>
      <c r="P12">
        <f>Inputs!P12</f>
        <v>0.33239174292000001</v>
      </c>
      <c r="Q12">
        <f>Inputs!Q12</f>
        <v>2319.7505855509999</v>
      </c>
      <c r="R12" t="str">
        <f>Inputs!R12</f>
        <v>Sussex County Assessor's Office</v>
      </c>
      <c r="S12" t="str">
        <f>Inputs!S12</f>
        <v>230-16.00-7.04</v>
      </c>
      <c r="T12">
        <f>Inputs!T12</f>
        <v>31900</v>
      </c>
      <c r="U12">
        <f>Inputs!U12</f>
        <v>32556</v>
      </c>
      <c r="V12">
        <f>IF(Inputs!V12=0,2020,Inputs!V12)</f>
        <v>1992</v>
      </c>
      <c r="W12">
        <f>Inputs!W12</f>
        <v>1992</v>
      </c>
      <c r="X12" t="str">
        <f>IF(Inputs!X12=0,"UNK",Inputs!X12)</f>
        <v>RES1</v>
      </c>
      <c r="Y12" t="str">
        <f>Inputs!Y12</f>
        <v>No</v>
      </c>
      <c r="Z12" t="str">
        <f>Inputs!Z12</f>
        <v>Slab</v>
      </c>
      <c r="AA12">
        <f>Inputs!AA12</f>
        <v>1800</v>
      </c>
      <c r="AB12">
        <f>IF(Z12="Piers",MIN(2,Inputs!AB12),Inputs!AB12)</f>
        <v>1</v>
      </c>
      <c r="AC12">
        <f>Inputs!AC12</f>
        <v>1</v>
      </c>
      <c r="AD12">
        <f>Inputs!AD12</f>
        <v>92.84</v>
      </c>
      <c r="AE12">
        <f>Inputs!AE12</f>
        <v>2006</v>
      </c>
      <c r="AF12">
        <f>Inputs!AF12</f>
        <v>0</v>
      </c>
      <c r="AG12">
        <f>Inputs!AG12</f>
        <v>2.52</v>
      </c>
      <c r="AH12" t="str">
        <f>Inputs!AH12</f>
        <v>https://property.sussexcountyde.gov/idoc_documents/230-16.00-7.04.pdf</v>
      </c>
      <c r="AI12">
        <f>Inputs!AI12</f>
        <v>0</v>
      </c>
      <c r="AJ12" t="str">
        <f>Inputs!AJ12</f>
        <v>9117 CODS RD MILFORD DE 19963</v>
      </c>
      <c r="AK12" t="str">
        <f t="shared" si="0"/>
        <v>Res</v>
      </c>
      <c r="AL12" t="str">
        <f t="shared" ref="AL12:AL75" si="6">IF(AK12="Res",X12&amp;"."&amp;AB12&amp;"."&amp;Z12,X12)</f>
        <v>RES1.1.Slab</v>
      </c>
      <c r="AM12">
        <f t="shared" si="1"/>
        <v>1</v>
      </c>
      <c r="AN12">
        <f t="shared" ref="AN12:AN75" si="7">IF(N12&lt;0,-99,N12-AC12)</f>
        <v>-0.66760825707999993</v>
      </c>
      <c r="AO12">
        <f t="shared" si="2"/>
        <v>9</v>
      </c>
      <c r="AP12">
        <f ca="1">OFFSET(Coastal_DDF!$F$10,0,AO12,1,1)</f>
        <v>-1</v>
      </c>
      <c r="AQ12">
        <f ca="1">OFFSET(Coastal_DDF!$F$10,0,AO12+1,1,1)</f>
        <v>-0.5</v>
      </c>
      <c r="AR12">
        <f ca="1">OFFSET(Coastal_DDF!$F$10,AM12,AO12,1,1)</f>
        <v>0</v>
      </c>
      <c r="AS12">
        <f ca="1">OFFSET(Coastal_DDF!$F$10,AM12,AO12+1,1,1)</f>
        <v>0</v>
      </c>
      <c r="AT12">
        <f t="shared" ref="AT12:AT75" ca="1" si="8">(AS12-AR12)/(AQ12-AP12)</f>
        <v>0</v>
      </c>
      <c r="AU12">
        <f t="shared" ref="AU12:AU75" ca="1" si="9">AR12+(AN12-AP12)*AT12</f>
        <v>0</v>
      </c>
      <c r="AV12">
        <f t="shared" ref="AV12:AV75" ca="1" si="10">(AU12/100)*U12</f>
        <v>0</v>
      </c>
      <c r="AW12">
        <f t="shared" ca="1" si="3"/>
        <v>0</v>
      </c>
      <c r="AX12">
        <f t="shared" ref="AX12:AX75" si="11">IF(O12&lt;0,-99,O12-AC12)</f>
        <v>-99</v>
      </c>
      <c r="AY12" t="e">
        <f t="shared" si="4"/>
        <v>#N/A</v>
      </c>
      <c r="AZ12" t="e">
        <f ca="1">OFFSET(Coastal_DDF!$F$10,0,AY12,1,1)</f>
        <v>#N/A</v>
      </c>
      <c r="BA12" t="e">
        <f ca="1">OFFSET(Coastal_DDF!$F$10,0,AY12+1,1,1)</f>
        <v>#N/A</v>
      </c>
      <c r="BB12" t="e">
        <f ca="1">OFFSET(Coastal_DDF!$F$10,AM12,AY12,1,1)</f>
        <v>#N/A</v>
      </c>
      <c r="BC12" t="e">
        <f ca="1">OFFSET(Coastal_DDF!$F$10,AM12,AY12+1,1,1)</f>
        <v>#N/A</v>
      </c>
      <c r="BD12" t="e">
        <f t="shared" ref="BD12:BD75" ca="1" si="12">(BC12-BB12)/(BA12-AZ12)</f>
        <v>#N/A</v>
      </c>
      <c r="BE12" t="e">
        <f t="shared" ref="BE12:BE75" ca="1" si="13">BB12+(AX12-AZ12)*BD12</f>
        <v>#N/A</v>
      </c>
      <c r="BF12" t="e">
        <f t="shared" ref="BF12:BF75" ca="1" si="14">(BE12/100)*U12</f>
        <v>#N/A</v>
      </c>
      <c r="BG12">
        <f t="shared" si="5"/>
        <v>0</v>
      </c>
    </row>
    <row r="13" spans="1:60" x14ac:dyDescent="0.25">
      <c r="A13">
        <f>Inputs!A13</f>
        <v>20</v>
      </c>
      <c r="B13" t="str">
        <f>Inputs!B13</f>
        <v>USFWS-15</v>
      </c>
      <c r="C13">
        <f>Inputs!C13</f>
        <v>1</v>
      </c>
      <c r="D13" t="str">
        <f>Inputs!D13</f>
        <v>DE_USFWS_15_0001</v>
      </c>
      <c r="E13">
        <f>Inputs!E13</f>
        <v>11</v>
      </c>
      <c r="F13">
        <f>Inputs!F13</f>
        <v>0</v>
      </c>
      <c r="G13">
        <f>Inputs!G13</f>
        <v>122.303798</v>
      </c>
      <c r="H13">
        <f>Inputs!H13</f>
        <v>1.3061229999999999</v>
      </c>
      <c r="I13">
        <f>Inputs!I13</f>
        <v>0.84612299999999996</v>
      </c>
      <c r="J13">
        <f>Inputs!J13</f>
        <v>0.46</v>
      </c>
      <c r="K13">
        <f>Inputs!K13</f>
        <v>1</v>
      </c>
      <c r="L13" t="str">
        <f>Inputs!L13</f>
        <v>C</v>
      </c>
      <c r="M13">
        <f>Inputs!M13</f>
        <v>0</v>
      </c>
      <c r="N13">
        <f>Inputs!N13</f>
        <v>4.2851805833199998</v>
      </c>
      <c r="O13">
        <f>Inputs!O13</f>
        <v>2.7759941833199999</v>
      </c>
      <c r="P13">
        <f>Inputs!P13</f>
        <v>1.5091864000000002</v>
      </c>
      <c r="Q13">
        <f>Inputs!Q13</f>
        <v>1316.4658512921999</v>
      </c>
      <c r="R13" t="str">
        <f>Inputs!R13</f>
        <v>RSMeans - median garage (46)</v>
      </c>
      <c r="S13" t="str">
        <f>Inputs!S13</f>
        <v>230-16.00-7.04</v>
      </c>
      <c r="T13">
        <f>Inputs!T13</f>
        <v>0</v>
      </c>
      <c r="U13">
        <f>Inputs!U13</f>
        <v>19780</v>
      </c>
      <c r="V13">
        <f>IF(Inputs!V13=0,2020,Inputs!V13)</f>
        <v>2006</v>
      </c>
      <c r="W13">
        <f>Inputs!W13</f>
        <v>1992</v>
      </c>
      <c r="X13" t="str">
        <f>IF(Inputs!X13=0,"UNK",Inputs!X13)</f>
        <v>RES1</v>
      </c>
      <c r="Y13" t="str">
        <f>Inputs!Y13</f>
        <v>No</v>
      </c>
      <c r="Z13" t="str">
        <f>Inputs!Z13</f>
        <v>Slab</v>
      </c>
      <c r="AA13">
        <f>Inputs!AA13</f>
        <v>1316.4658512921999</v>
      </c>
      <c r="AB13">
        <f>IF(Z13="Piers",MIN(2,Inputs!AB13),Inputs!AB13)</f>
        <v>1</v>
      </c>
      <c r="AC13">
        <f>Inputs!AC13</f>
        <v>1</v>
      </c>
      <c r="AD13">
        <f>Inputs!AD13</f>
        <v>19780</v>
      </c>
      <c r="AE13">
        <f>Inputs!AE13</f>
        <v>2006</v>
      </c>
      <c r="AF13" t="str">
        <f>Inputs!AF13</f>
        <v>average additional garage cost per residence</v>
      </c>
      <c r="AG13">
        <v>0</v>
      </c>
      <c r="AH13" t="str">
        <f>Inputs!AH13</f>
        <v>https://property.sussexcountyde.gov/idoc_documents/230-16.00-7.04.pdf</v>
      </c>
      <c r="AI13" t="str">
        <f>Inputs!AI13</f>
        <v>This garage is associated with object with the same parcel ID</v>
      </c>
      <c r="AJ13" t="str">
        <f>Inputs!AJ13</f>
        <v>9117 CODS RD MILFORD DE 19963</v>
      </c>
      <c r="AK13" t="str">
        <f t="shared" si="0"/>
        <v>Res</v>
      </c>
      <c r="AL13" t="str">
        <f t="shared" si="6"/>
        <v>RES1.1.Slab</v>
      </c>
      <c r="AM13">
        <f t="shared" si="1"/>
        <v>1</v>
      </c>
      <c r="AN13">
        <f t="shared" si="7"/>
        <v>3.2851805833199998</v>
      </c>
      <c r="AO13">
        <f t="shared" si="2"/>
        <v>15</v>
      </c>
      <c r="AP13">
        <f ca="1">OFFSET(Coastal_DDF!$F$10,0,AO13,1,1)</f>
        <v>3</v>
      </c>
      <c r="AQ13">
        <f ca="1">OFFSET(Coastal_DDF!$F$10,0,AO13+1,1,1)</f>
        <v>4</v>
      </c>
      <c r="AR13">
        <f ca="1">OFFSET(Coastal_DDF!$F$10,AM13,AO13,1,1)</f>
        <v>33</v>
      </c>
      <c r="AS13">
        <f ca="1">OFFSET(Coastal_DDF!$F$10,AM13,AO13+1,1,1)</f>
        <v>37.5</v>
      </c>
      <c r="AT13">
        <f t="shared" ca="1" si="8"/>
        <v>4.5</v>
      </c>
      <c r="AU13">
        <f t="shared" ca="1" si="9"/>
        <v>34.283312624940002</v>
      </c>
      <c r="AV13">
        <f t="shared" ca="1" si="10"/>
        <v>6781.2392372131326</v>
      </c>
      <c r="AW13">
        <f t="shared" ca="1" si="3"/>
        <v>8768.678702921783</v>
      </c>
      <c r="AX13">
        <f t="shared" si="11"/>
        <v>1.7759941833199999</v>
      </c>
      <c r="AY13">
        <f t="shared" si="4"/>
        <v>13</v>
      </c>
      <c r="AZ13">
        <f ca="1">OFFSET(Coastal_DDF!$F$10,0,AY13,1,1)</f>
        <v>1</v>
      </c>
      <c r="BA13">
        <f ca="1">OFFSET(Coastal_DDF!$F$10,0,AY13+1,1,1)</f>
        <v>2</v>
      </c>
      <c r="BB13">
        <f ca="1">OFFSET(Coastal_DDF!$F$10,AM13,AY13,1,1)</f>
        <v>18</v>
      </c>
      <c r="BC13">
        <f ca="1">OFFSET(Coastal_DDF!$F$10,AM13,AY13+1,1,1)</f>
        <v>28</v>
      </c>
      <c r="BD13">
        <f t="shared" ca="1" si="12"/>
        <v>10</v>
      </c>
      <c r="BE13">
        <f t="shared" ca="1" si="13"/>
        <v>25.759941833199999</v>
      </c>
      <c r="BF13">
        <f t="shared" ca="1" si="14"/>
        <v>5095.3164946069601</v>
      </c>
      <c r="BG13">
        <f t="shared" ca="1" si="5"/>
        <v>6588.6472469105529</v>
      </c>
    </row>
    <row r="14" spans="1:60" x14ac:dyDescent="0.25">
      <c r="A14">
        <f>Inputs!A14</f>
        <v>20</v>
      </c>
      <c r="B14" t="str">
        <f>Inputs!B14</f>
        <v>USFWS-15</v>
      </c>
      <c r="C14">
        <f>Inputs!C14</f>
        <v>1</v>
      </c>
      <c r="D14" t="str">
        <f>Inputs!D14</f>
        <v>DE_USFWS_15_0002</v>
      </c>
      <c r="E14">
        <f>Inputs!E14</f>
        <v>10</v>
      </c>
      <c r="F14">
        <f>Inputs!F14</f>
        <v>0</v>
      </c>
      <c r="G14">
        <f>Inputs!G14</f>
        <v>436.01074299999999</v>
      </c>
      <c r="H14">
        <f>Inputs!H14</f>
        <v>0.440473</v>
      </c>
      <c r="I14">
        <f>Inputs!I14</f>
        <v>0.120473</v>
      </c>
      <c r="J14">
        <f>Inputs!J14</f>
        <v>0.32</v>
      </c>
      <c r="K14">
        <f>Inputs!K14</f>
        <v>1</v>
      </c>
      <c r="L14" t="str">
        <f>Inputs!L14</f>
        <v>C</v>
      </c>
      <c r="M14">
        <f>Inputs!M14</f>
        <v>0</v>
      </c>
      <c r="N14">
        <f>Inputs!N14</f>
        <v>1.4451214373200001</v>
      </c>
      <c r="O14">
        <f>Inputs!O14</f>
        <v>0.39525263731999999</v>
      </c>
      <c r="P14">
        <f>Inputs!P14</f>
        <v>1.0498688</v>
      </c>
      <c r="Q14">
        <f>Inputs!Q14</f>
        <v>4693.1760365777</v>
      </c>
      <c r="R14" t="str">
        <f>Inputs!R14</f>
        <v>RSMeans - median recreational (287)</v>
      </c>
      <c r="S14" t="str">
        <f>Inputs!S14</f>
        <v>235-8.00-74.00</v>
      </c>
      <c r="T14">
        <f>Inputs!T14</f>
        <v>0</v>
      </c>
      <c r="U14" s="46">
        <f>Inputs!U14*0</f>
        <v>0</v>
      </c>
      <c r="V14">
        <f>IF(Inputs!V14=0,2020,Inputs!V14)</f>
        <v>2006</v>
      </c>
      <c r="W14">
        <f>Inputs!W14</f>
        <v>0</v>
      </c>
      <c r="X14" t="str">
        <f>IF(Inputs!X14=0,"UNK",Inputs!X14)</f>
        <v>GOV1</v>
      </c>
      <c r="Y14" t="str">
        <f>Inputs!Y14</f>
        <v>Yes</v>
      </c>
      <c r="Z14" t="str">
        <f>Inputs!Z14</f>
        <v>Slab</v>
      </c>
      <c r="AA14">
        <f>Inputs!AA14</f>
        <v>4693.1760365777</v>
      </c>
      <c r="AB14">
        <f>IF(Z14="Piers",MIN(2,Inputs!AB14),Inputs!AB14)</f>
        <v>1</v>
      </c>
      <c r="AC14">
        <f>Inputs!AC14</f>
        <v>1</v>
      </c>
      <c r="AD14">
        <f>Inputs!AD14</f>
        <v>107.28</v>
      </c>
      <c r="AE14">
        <f>Inputs!AE14</f>
        <v>2006</v>
      </c>
      <c r="AF14" t="str">
        <f>Inputs!AF14</f>
        <v>based on small townhall</v>
      </c>
      <c r="AG14">
        <v>0</v>
      </c>
      <c r="AH14">
        <f>Inputs!AH14</f>
        <v>0</v>
      </c>
      <c r="AI14" t="str">
        <f>Inputs!AI14</f>
        <v>No assessment value available from County. Looks to be a visitor center.</v>
      </c>
      <c r="AJ14" t="str">
        <f>Inputs!AJ14</f>
        <v xml:space="preserve">
11978 Turkle Pond Rd, Milton, DE 19968</v>
      </c>
      <c r="AK14" t="str">
        <f t="shared" si="0"/>
        <v>Pub</v>
      </c>
      <c r="AL14" t="str">
        <f t="shared" si="6"/>
        <v>GOV1</v>
      </c>
      <c r="AM14">
        <f t="shared" si="1"/>
        <v>8</v>
      </c>
      <c r="AN14">
        <f t="shared" si="7"/>
        <v>0.44512143732000009</v>
      </c>
      <c r="AO14">
        <f t="shared" si="2"/>
        <v>11</v>
      </c>
      <c r="AP14">
        <f ca="1">OFFSET(Coastal_DDF!$F$10,0,AO14,1,1)</f>
        <v>0</v>
      </c>
      <c r="AQ14">
        <f ca="1">OFFSET(Coastal_DDF!$F$10,0,AO14+1,1,1)</f>
        <v>0.5</v>
      </c>
      <c r="AR14">
        <f ca="1">OFFSET(Coastal_DDF!$F$10,AM14,AO14,1,1)</f>
        <v>0</v>
      </c>
      <c r="AS14">
        <f ca="1">OFFSET(Coastal_DDF!$F$10,AM14,AO14+1,1,1)</f>
        <v>2.5</v>
      </c>
      <c r="AT14">
        <f t="shared" ca="1" si="8"/>
        <v>5</v>
      </c>
      <c r="AU14">
        <f t="shared" ca="1" si="9"/>
        <v>2.2256071866000005</v>
      </c>
      <c r="AV14">
        <f t="shared" ca="1" si="10"/>
        <v>0</v>
      </c>
      <c r="AW14">
        <f t="shared" ca="1" si="3"/>
        <v>0</v>
      </c>
      <c r="AX14">
        <f t="shared" si="11"/>
        <v>-0.60474736267999996</v>
      </c>
      <c r="AY14">
        <f t="shared" si="4"/>
        <v>9</v>
      </c>
      <c r="AZ14">
        <f ca="1">OFFSET(Coastal_DDF!$F$10,0,AY14,1,1)</f>
        <v>-1</v>
      </c>
      <c r="BA14">
        <f ca="1">OFFSET(Coastal_DDF!$F$10,0,AY14+1,1,1)</f>
        <v>-0.5</v>
      </c>
      <c r="BB14">
        <f ca="1">OFFSET(Coastal_DDF!$F$10,AM14,AY14,1,1)</f>
        <v>0</v>
      </c>
      <c r="BC14">
        <f ca="1">OFFSET(Coastal_DDF!$F$10,AM14,AY14+1,1,1)</f>
        <v>0</v>
      </c>
      <c r="BD14">
        <f t="shared" ca="1" si="12"/>
        <v>0</v>
      </c>
      <c r="BE14">
        <f t="shared" ca="1" si="13"/>
        <v>0</v>
      </c>
      <c r="BF14">
        <f t="shared" ca="1" si="14"/>
        <v>0</v>
      </c>
      <c r="BG14">
        <f t="shared" ca="1" si="5"/>
        <v>0</v>
      </c>
    </row>
    <row r="15" spans="1:60" x14ac:dyDescent="0.25">
      <c r="A15">
        <f>Inputs!A15</f>
        <v>20</v>
      </c>
      <c r="B15" t="str">
        <f>Inputs!B15</f>
        <v>USFWS-15</v>
      </c>
      <c r="C15">
        <f>Inputs!C15</f>
        <v>1</v>
      </c>
      <c r="D15" t="str">
        <f>Inputs!D15</f>
        <v>DE_USFWS_15_0004</v>
      </c>
      <c r="E15">
        <f>Inputs!E15</f>
        <v>11</v>
      </c>
      <c r="F15">
        <f>Inputs!F15</f>
        <v>0</v>
      </c>
      <c r="G15">
        <f>Inputs!G15</f>
        <v>215.51209</v>
      </c>
      <c r="H15">
        <f>Inputs!H15</f>
        <v>0.88131300000000001</v>
      </c>
      <c r="I15">
        <f>Inputs!I15</f>
        <v>0.42131299999999999</v>
      </c>
      <c r="J15">
        <f>Inputs!J15</f>
        <v>0.46</v>
      </c>
      <c r="K15">
        <f>Inputs!K15</f>
        <v>1</v>
      </c>
      <c r="L15" t="str">
        <f>Inputs!L15</f>
        <v>C</v>
      </c>
      <c r="M15">
        <f>Inputs!M15</f>
        <v>0</v>
      </c>
      <c r="N15">
        <f>Inputs!N15</f>
        <v>2.89144694292</v>
      </c>
      <c r="O15">
        <f>Inputs!O15</f>
        <v>1.3822605429199999</v>
      </c>
      <c r="P15">
        <f>Inputs!P15</f>
        <v>1.5091864000000002</v>
      </c>
      <c r="Q15">
        <f>Inputs!Q15</f>
        <v>2319.7505855509999</v>
      </c>
      <c r="R15" t="str">
        <f>Inputs!R15</f>
        <v>Sussex County Assessor's Office</v>
      </c>
      <c r="S15" t="str">
        <f>Inputs!S15</f>
        <v>230-16.00-7.04</v>
      </c>
      <c r="T15">
        <f>Inputs!T15</f>
        <v>31900</v>
      </c>
      <c r="U15">
        <f>Inputs!U15</f>
        <v>32556</v>
      </c>
      <c r="V15">
        <f>IF(Inputs!V15=0,2020,Inputs!V15)</f>
        <v>1992</v>
      </c>
      <c r="W15">
        <f>Inputs!W15</f>
        <v>1992</v>
      </c>
      <c r="X15" t="str">
        <f>IF(Inputs!X15=0,"UNK",Inputs!X15)</f>
        <v>RES1</v>
      </c>
      <c r="Y15" t="str">
        <f>Inputs!Y15</f>
        <v>No</v>
      </c>
      <c r="Z15" t="str">
        <f>Inputs!Z15</f>
        <v>Slab</v>
      </c>
      <c r="AA15">
        <f>Inputs!AA15</f>
        <v>1800</v>
      </c>
      <c r="AB15">
        <f>IF(Z15="Piers",MIN(2,Inputs!AB15),Inputs!AB15)</f>
        <v>1</v>
      </c>
      <c r="AC15">
        <f>Inputs!AC15</f>
        <v>1</v>
      </c>
      <c r="AD15">
        <f>Inputs!AD15</f>
        <v>92.84</v>
      </c>
      <c r="AE15">
        <f>Inputs!AE15</f>
        <v>2006</v>
      </c>
      <c r="AF15">
        <f>Inputs!AF15</f>
        <v>0</v>
      </c>
      <c r="AG15">
        <f>Inputs!AG15</f>
        <v>2.52</v>
      </c>
      <c r="AH15" t="str">
        <f>Inputs!AH15</f>
        <v>https://property.sussexcountyde.gov/idoc_documents/230-16.00-7.04.pdf</v>
      </c>
      <c r="AI15">
        <f>Inputs!AI15</f>
        <v>0</v>
      </c>
      <c r="AJ15" t="str">
        <f>Inputs!AJ15</f>
        <v>9117 CODS RD MILFORD DE 19963</v>
      </c>
      <c r="AK15" t="str">
        <f t="shared" si="0"/>
        <v>Res</v>
      </c>
      <c r="AL15" t="str">
        <f t="shared" si="6"/>
        <v>RES1.1.Slab</v>
      </c>
      <c r="AM15">
        <f t="shared" si="1"/>
        <v>1</v>
      </c>
      <c r="AN15">
        <f t="shared" si="7"/>
        <v>1.89144694292</v>
      </c>
      <c r="AO15">
        <f t="shared" si="2"/>
        <v>13</v>
      </c>
      <c r="AP15">
        <f ca="1">OFFSET(Coastal_DDF!$F$10,0,AO15,1,1)</f>
        <v>1</v>
      </c>
      <c r="AQ15">
        <f ca="1">OFFSET(Coastal_DDF!$F$10,0,AO15+1,1,1)</f>
        <v>2</v>
      </c>
      <c r="AR15">
        <f ca="1">OFFSET(Coastal_DDF!$F$10,AM15,AO15,1,1)</f>
        <v>18</v>
      </c>
      <c r="AS15">
        <f ca="1">OFFSET(Coastal_DDF!$F$10,AM15,AO15+1,1,1)</f>
        <v>28</v>
      </c>
      <c r="AT15">
        <f t="shared" ca="1" si="8"/>
        <v>10</v>
      </c>
      <c r="AU15">
        <f t="shared" ca="1" si="9"/>
        <v>26.9144694292</v>
      </c>
      <c r="AV15">
        <f t="shared" ca="1" si="10"/>
        <v>8762.2746673703514</v>
      </c>
      <c r="AW15">
        <f t="shared" ca="1" si="3"/>
        <v>21110.164363098833</v>
      </c>
      <c r="AX15">
        <f t="shared" si="11"/>
        <v>0.38226054291999989</v>
      </c>
      <c r="AY15">
        <f t="shared" si="4"/>
        <v>11</v>
      </c>
      <c r="AZ15">
        <f ca="1">OFFSET(Coastal_DDF!$F$10,0,AY15,1,1)</f>
        <v>0</v>
      </c>
      <c r="BA15">
        <f ca="1">OFFSET(Coastal_DDF!$F$10,0,AY15+1,1,1)</f>
        <v>0.5</v>
      </c>
      <c r="BB15">
        <f ca="1">OFFSET(Coastal_DDF!$F$10,AM15,AY15,1,1)</f>
        <v>1</v>
      </c>
      <c r="BC15">
        <f ca="1">OFFSET(Coastal_DDF!$F$10,AM15,AY15+1,1,1)</f>
        <v>10</v>
      </c>
      <c r="BD15">
        <f t="shared" ca="1" si="12"/>
        <v>18</v>
      </c>
      <c r="BE15">
        <f t="shared" ca="1" si="13"/>
        <v>7.8806897725599985</v>
      </c>
      <c r="BF15">
        <f t="shared" ca="1" si="14"/>
        <v>2565.6373623546328</v>
      </c>
      <c r="BG15">
        <f t="shared" ca="1" si="5"/>
        <v>6181.1605400938588</v>
      </c>
    </row>
    <row r="16" spans="1:60" x14ac:dyDescent="0.25">
      <c r="A16">
        <f>Inputs!A16</f>
        <v>100</v>
      </c>
      <c r="B16" t="str">
        <f>Inputs!B16</f>
        <v>USFWS-15</v>
      </c>
      <c r="C16">
        <f>Inputs!C16</f>
        <v>1</v>
      </c>
      <c r="D16" t="str">
        <f>Inputs!D16</f>
        <v>DE_USFWS_15_0001</v>
      </c>
      <c r="E16">
        <f>Inputs!E16</f>
        <v>11</v>
      </c>
      <c r="F16">
        <f>Inputs!F16</f>
        <v>0</v>
      </c>
      <c r="G16">
        <f>Inputs!G16</f>
        <v>122.303798</v>
      </c>
      <c r="H16">
        <f>Inputs!H16</f>
        <v>2.3061229999999999</v>
      </c>
      <c r="I16">
        <f>Inputs!I16</f>
        <v>1.606123</v>
      </c>
      <c r="J16">
        <f>Inputs!J16</f>
        <v>0.7</v>
      </c>
      <c r="K16">
        <f>Inputs!K16</f>
        <v>1</v>
      </c>
      <c r="L16" t="str">
        <f>Inputs!L16</f>
        <v>C</v>
      </c>
      <c r="M16">
        <f>Inputs!M16</f>
        <v>0</v>
      </c>
      <c r="N16">
        <f>Inputs!N16</f>
        <v>7.5660205833199994</v>
      </c>
      <c r="O16">
        <f>Inputs!O16</f>
        <v>5.2694325833199995</v>
      </c>
      <c r="P16">
        <f>Inputs!P16</f>
        <v>2.2965879999999999</v>
      </c>
      <c r="Q16">
        <f>Inputs!Q16</f>
        <v>1316.4658512921999</v>
      </c>
      <c r="R16" t="str">
        <f>Inputs!R16</f>
        <v>RSMeans - median garage (46)</v>
      </c>
      <c r="S16" t="str">
        <f>Inputs!S16</f>
        <v>230-16.00-7.04</v>
      </c>
      <c r="T16">
        <f>Inputs!T16</f>
        <v>0</v>
      </c>
      <c r="U16">
        <f>Inputs!U16</f>
        <v>19780</v>
      </c>
      <c r="V16">
        <f>IF(Inputs!V16=0,2020,Inputs!V16)</f>
        <v>2006</v>
      </c>
      <c r="W16">
        <f>Inputs!W16</f>
        <v>1992</v>
      </c>
      <c r="X16" t="str">
        <f>IF(Inputs!X16=0,"UNK",Inputs!X16)</f>
        <v>RES1</v>
      </c>
      <c r="Y16" t="str">
        <f>Inputs!Y16</f>
        <v>No</v>
      </c>
      <c r="Z16" t="str">
        <f>Inputs!Z16</f>
        <v>Slab</v>
      </c>
      <c r="AA16">
        <f>Inputs!AA16</f>
        <v>1316.4658512921999</v>
      </c>
      <c r="AB16">
        <f>IF(Z16="Piers",MIN(2,Inputs!AB16),Inputs!AB16)</f>
        <v>1</v>
      </c>
      <c r="AC16">
        <f>Inputs!AC16</f>
        <v>1</v>
      </c>
      <c r="AD16">
        <f>Inputs!AD16</f>
        <v>19780</v>
      </c>
      <c r="AE16">
        <f>Inputs!AE16</f>
        <v>2006</v>
      </c>
      <c r="AF16" t="str">
        <f>Inputs!AF16</f>
        <v>average additional garage cost per residence</v>
      </c>
      <c r="AG16">
        <v>0</v>
      </c>
      <c r="AH16" t="str">
        <f>Inputs!AH16</f>
        <v>https://property.sussexcountyde.gov/idoc_documents/230-16.00-7.04.pdf</v>
      </c>
      <c r="AI16" t="str">
        <f>Inputs!AI16</f>
        <v>This garage is associated with object with the same parcel ID</v>
      </c>
      <c r="AJ16" t="str">
        <f>Inputs!AJ16</f>
        <v>9117 CODS RD MILFORD DE 19963</v>
      </c>
      <c r="AK16" t="str">
        <f t="shared" si="0"/>
        <v>Res</v>
      </c>
      <c r="AL16" t="str">
        <f t="shared" si="6"/>
        <v>RES1.1.Slab</v>
      </c>
      <c r="AM16">
        <f t="shared" si="1"/>
        <v>1</v>
      </c>
      <c r="AN16">
        <f t="shared" si="7"/>
        <v>6.5660205833199994</v>
      </c>
      <c r="AO16">
        <f t="shared" si="2"/>
        <v>18</v>
      </c>
      <c r="AP16">
        <f ca="1">OFFSET(Coastal_DDF!$F$10,0,AO16,1,1)</f>
        <v>6</v>
      </c>
      <c r="AQ16">
        <f ca="1">OFFSET(Coastal_DDF!$F$10,0,AO16+1,1,1)</f>
        <v>7</v>
      </c>
      <c r="AR16">
        <f ca="1">OFFSET(Coastal_DDF!$F$10,AM16,AO16,1,1)</f>
        <v>48.5</v>
      </c>
      <c r="AS16">
        <f ca="1">OFFSET(Coastal_DDF!$F$10,AM16,AO16+1,1,1)</f>
        <v>55</v>
      </c>
      <c r="AT16">
        <f t="shared" ca="1" si="8"/>
        <v>6.5</v>
      </c>
      <c r="AU16">
        <f t="shared" ca="1" si="9"/>
        <v>52.179133791579993</v>
      </c>
      <c r="AV16">
        <f t="shared" ca="1" si="10"/>
        <v>10321.032663974522</v>
      </c>
      <c r="AW16">
        <f t="shared" ca="1" si="3"/>
        <v>13345.911587385133</v>
      </c>
      <c r="AX16">
        <f t="shared" si="11"/>
        <v>4.2694325833199995</v>
      </c>
      <c r="AY16">
        <f t="shared" si="4"/>
        <v>16</v>
      </c>
      <c r="AZ16">
        <f ca="1">OFFSET(Coastal_DDF!$F$10,0,AY16,1,1)</f>
        <v>4</v>
      </c>
      <c r="BA16">
        <f ca="1">OFFSET(Coastal_DDF!$F$10,0,AY16+1,1,1)</f>
        <v>5</v>
      </c>
      <c r="BB16">
        <f ca="1">OFFSET(Coastal_DDF!$F$10,AM16,AY16,1,1)</f>
        <v>37.5</v>
      </c>
      <c r="BC16">
        <f ca="1">OFFSET(Coastal_DDF!$F$10,AM16,AY16+1,1,1)</f>
        <v>42</v>
      </c>
      <c r="BD16">
        <f t="shared" ca="1" si="12"/>
        <v>4.5</v>
      </c>
      <c r="BE16">
        <f t="shared" ca="1" si="13"/>
        <v>38.71244662494</v>
      </c>
      <c r="BF16">
        <f t="shared" ca="1" si="14"/>
        <v>7657.3219424131321</v>
      </c>
      <c r="BG16">
        <f t="shared" ca="1" si="5"/>
        <v>9901.5229354226303</v>
      </c>
    </row>
    <row r="17" spans="1:59" x14ac:dyDescent="0.25">
      <c r="A17">
        <f>Inputs!A17</f>
        <v>100</v>
      </c>
      <c r="B17" t="str">
        <f>Inputs!B17</f>
        <v>USFWS-15</v>
      </c>
      <c r="C17">
        <f>Inputs!C17</f>
        <v>1</v>
      </c>
      <c r="D17" t="str">
        <f>Inputs!D17</f>
        <v>DE_USFWS_15_0002</v>
      </c>
      <c r="E17">
        <f>Inputs!E17</f>
        <v>10</v>
      </c>
      <c r="F17">
        <f>Inputs!F17</f>
        <v>0</v>
      </c>
      <c r="G17">
        <f>Inputs!G17</f>
        <v>436.01074299999999</v>
      </c>
      <c r="H17">
        <f>Inputs!H17</f>
        <v>1.4674069999999999</v>
      </c>
      <c r="I17">
        <f>Inputs!I17</f>
        <v>0.92740699999999998</v>
      </c>
      <c r="J17">
        <f>Inputs!J17</f>
        <v>0.54</v>
      </c>
      <c r="K17">
        <f>Inputs!K17</f>
        <v>1</v>
      </c>
      <c r="L17" t="str">
        <f>Inputs!L17</f>
        <v>C</v>
      </c>
      <c r="M17">
        <f>Inputs!M17</f>
        <v>0</v>
      </c>
      <c r="N17">
        <f>Inputs!N17</f>
        <v>4.8143275818799998</v>
      </c>
      <c r="O17">
        <f>Inputs!O17</f>
        <v>3.0426739818799997</v>
      </c>
      <c r="P17">
        <f>Inputs!P17</f>
        <v>1.7716536000000001</v>
      </c>
      <c r="Q17">
        <f>Inputs!Q17</f>
        <v>4693.1760365777</v>
      </c>
      <c r="R17" t="str">
        <f>Inputs!R17</f>
        <v>RS Means - median office building (195)</v>
      </c>
      <c r="S17" t="str">
        <f>Inputs!S17</f>
        <v>235-8.00-74.00</v>
      </c>
      <c r="T17">
        <f>Inputs!T17</f>
        <v>0</v>
      </c>
      <c r="U17">
        <f>Inputs!U17</f>
        <v>503483.92520405567</v>
      </c>
      <c r="V17">
        <f>IF(Inputs!V17=0,2020,Inputs!V17)</f>
        <v>2006</v>
      </c>
      <c r="W17">
        <f>Inputs!W17</f>
        <v>0</v>
      </c>
      <c r="X17" t="str">
        <f>IF(Inputs!X17=0,"UNK",Inputs!X17)</f>
        <v>GOV1</v>
      </c>
      <c r="Y17" t="str">
        <f>Inputs!Y17</f>
        <v>Yes</v>
      </c>
      <c r="Z17" t="str">
        <f>Inputs!Z17</f>
        <v>Slab</v>
      </c>
      <c r="AA17">
        <f>Inputs!AA17</f>
        <v>4693.1760365777</v>
      </c>
      <c r="AB17">
        <f>IF(Z17="Piers",MIN(2,Inputs!AB17),Inputs!AB17)</f>
        <v>1</v>
      </c>
      <c r="AC17">
        <f>Inputs!AC17</f>
        <v>1</v>
      </c>
      <c r="AD17">
        <f>Inputs!AD17</f>
        <v>107.28</v>
      </c>
      <c r="AE17">
        <f>Inputs!AE17</f>
        <v>2006</v>
      </c>
      <c r="AF17" t="str">
        <f>Inputs!AF17</f>
        <v>based on small townhall</v>
      </c>
      <c r="AG17">
        <v>0</v>
      </c>
      <c r="AH17">
        <f>Inputs!AH17</f>
        <v>0</v>
      </c>
      <c r="AI17" t="str">
        <f>Inputs!AI17</f>
        <v>No assessment value available from County. Looks to be a visitor center.</v>
      </c>
      <c r="AJ17" t="str">
        <f>Inputs!AJ17</f>
        <v xml:space="preserve">
11978 Turkle Pond Rd, Milton, DE 19968</v>
      </c>
      <c r="AK17" t="str">
        <f t="shared" si="0"/>
        <v>Pub</v>
      </c>
      <c r="AL17" t="str">
        <f t="shared" si="6"/>
        <v>GOV1</v>
      </c>
      <c r="AM17">
        <f t="shared" si="1"/>
        <v>8</v>
      </c>
      <c r="AN17">
        <f t="shared" si="7"/>
        <v>3.8143275818799998</v>
      </c>
      <c r="AO17">
        <f t="shared" si="2"/>
        <v>15</v>
      </c>
      <c r="AP17">
        <f ca="1">OFFSET(Coastal_DDF!$F$10,0,AO17,1,1)</f>
        <v>3</v>
      </c>
      <c r="AQ17">
        <f ca="1">OFFSET(Coastal_DDF!$F$10,0,AO17+1,1,1)</f>
        <v>4</v>
      </c>
      <c r="AR17">
        <f ca="1">OFFSET(Coastal_DDF!$F$10,AM17,AO17,1,1)</f>
        <v>13</v>
      </c>
      <c r="AS17">
        <f ca="1">OFFSET(Coastal_DDF!$F$10,AM17,AO17+1,1,1)</f>
        <v>14</v>
      </c>
      <c r="AT17">
        <f t="shared" ca="1" si="8"/>
        <v>1</v>
      </c>
      <c r="AU17">
        <f t="shared" ca="1" si="9"/>
        <v>13.814327581880001</v>
      </c>
      <c r="AV17">
        <f t="shared" ca="1" si="10"/>
        <v>69552.918749795936</v>
      </c>
      <c r="AW17">
        <f t="shared" ca="1" si="3"/>
        <v>89937.425304291202</v>
      </c>
      <c r="AX17">
        <f t="shared" si="11"/>
        <v>2.0426739818799997</v>
      </c>
      <c r="AY17">
        <f t="shared" si="4"/>
        <v>14</v>
      </c>
      <c r="AZ17">
        <f ca="1">OFFSET(Coastal_DDF!$F$10,0,AY17,1,1)</f>
        <v>2</v>
      </c>
      <c r="BA17">
        <f ca="1">OFFSET(Coastal_DDF!$F$10,0,AY17+1,1,1)</f>
        <v>3</v>
      </c>
      <c r="BB17">
        <f ca="1">OFFSET(Coastal_DDF!$F$10,AM17,AY17,1,1)</f>
        <v>8</v>
      </c>
      <c r="BC17">
        <f ca="1">OFFSET(Coastal_DDF!$F$10,AM17,AY17+1,1,1)</f>
        <v>13</v>
      </c>
      <c r="BD17">
        <f t="shared" ca="1" si="12"/>
        <v>5</v>
      </c>
      <c r="BE17">
        <f t="shared" ca="1" si="13"/>
        <v>8.213369909399999</v>
      </c>
      <c r="BF17">
        <f t="shared" ca="1" si="14"/>
        <v>41352.997211375907</v>
      </c>
      <c r="BG17">
        <f t="shared" ca="1" si="5"/>
        <v>53472.696252845541</v>
      </c>
    </row>
    <row r="18" spans="1:59" x14ac:dyDescent="0.25">
      <c r="A18">
        <f>Inputs!A18</f>
        <v>100</v>
      </c>
      <c r="B18" t="str">
        <f>Inputs!B18</f>
        <v>USFWS-15</v>
      </c>
      <c r="C18">
        <f>Inputs!C18</f>
        <v>1</v>
      </c>
      <c r="D18" t="str">
        <f>Inputs!D18</f>
        <v>DE_USFWS_15_0003</v>
      </c>
      <c r="E18">
        <f>Inputs!E18</f>
        <v>10</v>
      </c>
      <c r="F18">
        <f>Inputs!F18</f>
        <v>0</v>
      </c>
      <c r="G18">
        <f>Inputs!G18</f>
        <v>71.392313000000001</v>
      </c>
      <c r="H18">
        <f>Inputs!H18</f>
        <v>1.5823970000000001</v>
      </c>
      <c r="I18">
        <f>Inputs!I18</f>
        <v>1.042397</v>
      </c>
      <c r="J18">
        <f>Inputs!J18</f>
        <v>0.54</v>
      </c>
      <c r="K18">
        <f>Inputs!K18</f>
        <v>1</v>
      </c>
      <c r="L18" t="str">
        <f>Inputs!L18</f>
        <v>C</v>
      </c>
      <c r="M18">
        <f>Inputs!M18</f>
        <v>0</v>
      </c>
      <c r="N18">
        <f>Inputs!N18</f>
        <v>5.1915913734800005</v>
      </c>
      <c r="O18">
        <f>Inputs!O18</f>
        <v>3.4199377734800001</v>
      </c>
      <c r="P18">
        <f>Inputs!P18</f>
        <v>1.7716536000000001</v>
      </c>
      <c r="Q18">
        <f>Inputs!Q18</f>
        <v>768.45971790069996</v>
      </c>
      <c r="R18" t="str">
        <f>Inputs!R18</f>
        <v>RS Means - median office building (195)</v>
      </c>
      <c r="S18" t="str">
        <f>Inputs!S18</f>
        <v>235-8.00-74.00</v>
      </c>
      <c r="T18">
        <f>Inputs!T18</f>
        <v>0</v>
      </c>
      <c r="U18">
        <f>Inputs!U18</f>
        <v>82440.358536387095</v>
      </c>
      <c r="V18">
        <f>IF(Inputs!V18=0,2020,Inputs!V18)</f>
        <v>2006</v>
      </c>
      <c r="W18">
        <f>Inputs!W18</f>
        <v>0</v>
      </c>
      <c r="X18" t="str">
        <f>IF(Inputs!X18=0,"UNK",Inputs!X18)</f>
        <v>GOV1</v>
      </c>
      <c r="Y18" t="str">
        <f>Inputs!Y18</f>
        <v>Yes</v>
      </c>
      <c r="Z18" t="str">
        <f>Inputs!Z18</f>
        <v>Slab</v>
      </c>
      <c r="AA18">
        <f>Inputs!AA18</f>
        <v>768.45971790069996</v>
      </c>
      <c r="AB18">
        <f>IF(Z18="Piers",MIN(2,Inputs!AB18),Inputs!AB18)</f>
        <v>1</v>
      </c>
      <c r="AC18">
        <f>Inputs!AC18</f>
        <v>1</v>
      </c>
      <c r="AD18">
        <f>Inputs!AD18</f>
        <v>107.28</v>
      </c>
      <c r="AE18">
        <f>Inputs!AE18</f>
        <v>2006</v>
      </c>
      <c r="AF18" t="str">
        <f>Inputs!AF18</f>
        <v>based on small townhall</v>
      </c>
      <c r="AG18">
        <v>0</v>
      </c>
      <c r="AH18">
        <f>Inputs!AH18</f>
        <v>0</v>
      </c>
      <c r="AI18" t="str">
        <f>Inputs!AI18</f>
        <v xml:space="preserve">No assessment value available from County. Looks to be a trailer office next to the visitor's center. </v>
      </c>
      <c r="AJ18" t="str">
        <f>Inputs!AJ18</f>
        <v xml:space="preserve">
11978 Turkle Pond Rd, Milton, DE 19968</v>
      </c>
      <c r="AK18" t="str">
        <f t="shared" si="0"/>
        <v>Pub</v>
      </c>
      <c r="AL18" t="str">
        <f t="shared" si="6"/>
        <v>GOV1</v>
      </c>
      <c r="AM18">
        <f t="shared" si="1"/>
        <v>8</v>
      </c>
      <c r="AN18">
        <f t="shared" si="7"/>
        <v>4.1915913734800005</v>
      </c>
      <c r="AO18">
        <f t="shared" si="2"/>
        <v>16</v>
      </c>
      <c r="AP18">
        <f ca="1">OFFSET(Coastal_DDF!$F$10,0,AO18,1,1)</f>
        <v>4</v>
      </c>
      <c r="AQ18">
        <f ca="1">OFFSET(Coastal_DDF!$F$10,0,AO18+1,1,1)</f>
        <v>5</v>
      </c>
      <c r="AR18">
        <f ca="1">OFFSET(Coastal_DDF!$F$10,AM18,AO18,1,1)</f>
        <v>14</v>
      </c>
      <c r="AS18">
        <f ca="1">OFFSET(Coastal_DDF!$F$10,AM18,AO18+1,1,1)</f>
        <v>14</v>
      </c>
      <c r="AT18">
        <f t="shared" ca="1" si="8"/>
        <v>0</v>
      </c>
      <c r="AU18">
        <f t="shared" ca="1" si="9"/>
        <v>14</v>
      </c>
      <c r="AV18">
        <f t="shared" ca="1" si="10"/>
        <v>11541.650195094195</v>
      </c>
      <c r="AW18">
        <f t="shared" ca="1" si="3"/>
        <v>14924.266601142281</v>
      </c>
      <c r="AX18">
        <f t="shared" si="11"/>
        <v>2.4199377734800001</v>
      </c>
      <c r="AY18">
        <f t="shared" si="4"/>
        <v>14</v>
      </c>
      <c r="AZ18">
        <f ca="1">OFFSET(Coastal_DDF!$F$10,0,AY18,1,1)</f>
        <v>2</v>
      </c>
      <c r="BA18">
        <f ca="1">OFFSET(Coastal_DDF!$F$10,0,AY18+1,1,1)</f>
        <v>3</v>
      </c>
      <c r="BB18">
        <f ca="1">OFFSET(Coastal_DDF!$F$10,AM18,AY18,1,1)</f>
        <v>8</v>
      </c>
      <c r="BC18">
        <f ca="1">OFFSET(Coastal_DDF!$F$10,AM18,AY18+1,1,1)</f>
        <v>13</v>
      </c>
      <c r="BD18">
        <f t="shared" ca="1" si="12"/>
        <v>5</v>
      </c>
      <c r="BE18">
        <f t="shared" ca="1" si="13"/>
        <v>10.099688867400001</v>
      </c>
      <c r="BF18">
        <f t="shared" ca="1" si="14"/>
        <v>8326.219713344135</v>
      </c>
      <c r="BG18">
        <f t="shared" ca="1" si="5"/>
        <v>10766.460660404739</v>
      </c>
    </row>
    <row r="19" spans="1:59" x14ac:dyDescent="0.25">
      <c r="A19">
        <f>Inputs!A19</f>
        <v>100</v>
      </c>
      <c r="B19" t="str">
        <f>Inputs!B19</f>
        <v>USFWS-15</v>
      </c>
      <c r="C19">
        <f>Inputs!C19</f>
        <v>1</v>
      </c>
      <c r="D19" t="str">
        <f>Inputs!D19</f>
        <v>DE_USFWS_15_0004</v>
      </c>
      <c r="E19">
        <f>Inputs!E19</f>
        <v>11</v>
      </c>
      <c r="F19">
        <f>Inputs!F19</f>
        <v>0</v>
      </c>
      <c r="G19">
        <f>Inputs!G19</f>
        <v>215.51209</v>
      </c>
      <c r="H19">
        <f>Inputs!H19</f>
        <v>1.881313</v>
      </c>
      <c r="I19">
        <f>Inputs!I19</f>
        <v>1.1813130000000001</v>
      </c>
      <c r="J19">
        <f>Inputs!J19</f>
        <v>0.7</v>
      </c>
      <c r="K19">
        <f>Inputs!K19</f>
        <v>1</v>
      </c>
      <c r="L19" t="str">
        <f>Inputs!L19</f>
        <v>C</v>
      </c>
      <c r="M19">
        <f>Inputs!M19</f>
        <v>0</v>
      </c>
      <c r="N19">
        <f>Inputs!N19</f>
        <v>6.1722869429199996</v>
      </c>
      <c r="O19">
        <f>Inputs!O19</f>
        <v>3.8756989429200002</v>
      </c>
      <c r="P19">
        <f>Inputs!P19</f>
        <v>2.2965879999999999</v>
      </c>
      <c r="Q19">
        <f>Inputs!Q19</f>
        <v>2319.7505855509999</v>
      </c>
      <c r="R19" t="str">
        <f>Inputs!R19</f>
        <v>Sussex County Assessor's Office</v>
      </c>
      <c r="S19" t="str">
        <f>Inputs!S19</f>
        <v>230-16.00-7.04</v>
      </c>
      <c r="T19">
        <f>Inputs!T19</f>
        <v>31900</v>
      </c>
      <c r="U19">
        <f>Inputs!U19</f>
        <v>32556</v>
      </c>
      <c r="V19">
        <f>IF(Inputs!V19=0,2020,Inputs!V19)</f>
        <v>1992</v>
      </c>
      <c r="W19">
        <f>Inputs!W19</f>
        <v>1992</v>
      </c>
      <c r="X19" t="str">
        <f>IF(Inputs!X19=0,"UNK",Inputs!X19)</f>
        <v>RES1</v>
      </c>
      <c r="Y19" t="str">
        <f>Inputs!Y19</f>
        <v>No</v>
      </c>
      <c r="Z19" t="str">
        <f>Inputs!Z19</f>
        <v>Slab</v>
      </c>
      <c r="AA19">
        <f>Inputs!AA19</f>
        <v>1800</v>
      </c>
      <c r="AB19">
        <f>IF(Z19="Piers",MIN(2,Inputs!AB19),Inputs!AB19)</f>
        <v>1</v>
      </c>
      <c r="AC19">
        <f>Inputs!AC19</f>
        <v>1</v>
      </c>
      <c r="AD19">
        <f>Inputs!AD19</f>
        <v>92.84</v>
      </c>
      <c r="AE19">
        <f>Inputs!AE19</f>
        <v>2006</v>
      </c>
      <c r="AF19">
        <f>Inputs!AF19</f>
        <v>0</v>
      </c>
      <c r="AG19">
        <f>Inputs!AG19</f>
        <v>2.52</v>
      </c>
      <c r="AH19" t="str">
        <f>Inputs!AH19</f>
        <v>https://property.sussexcountyde.gov/idoc_documents/230-16.00-7.04.pdf</v>
      </c>
      <c r="AI19">
        <f>Inputs!AI19</f>
        <v>0</v>
      </c>
      <c r="AJ19" t="str">
        <f>Inputs!AJ19</f>
        <v>9117 CODS RD MILFORD DE 19963</v>
      </c>
      <c r="AK19" t="str">
        <f t="shared" si="0"/>
        <v>Res</v>
      </c>
      <c r="AL19" t="str">
        <f t="shared" si="6"/>
        <v>RES1.1.Slab</v>
      </c>
      <c r="AM19">
        <f t="shared" si="1"/>
        <v>1</v>
      </c>
      <c r="AN19">
        <f t="shared" si="7"/>
        <v>5.1722869429199996</v>
      </c>
      <c r="AO19">
        <f t="shared" si="2"/>
        <v>17</v>
      </c>
      <c r="AP19">
        <f ca="1">OFFSET(Coastal_DDF!$F$10,0,AO19,1,1)</f>
        <v>5</v>
      </c>
      <c r="AQ19">
        <f ca="1">OFFSET(Coastal_DDF!$F$10,0,AO19+1,1,1)</f>
        <v>6</v>
      </c>
      <c r="AR19">
        <f ca="1">OFFSET(Coastal_DDF!$F$10,AM19,AO19,1,1)</f>
        <v>42</v>
      </c>
      <c r="AS19">
        <f ca="1">OFFSET(Coastal_DDF!$F$10,AM19,AO19+1,1,1)</f>
        <v>48.5</v>
      </c>
      <c r="AT19">
        <f t="shared" ca="1" si="8"/>
        <v>6.5</v>
      </c>
      <c r="AU19">
        <f t="shared" ca="1" si="9"/>
        <v>43.119865128979995</v>
      </c>
      <c r="AV19">
        <f t="shared" ca="1" si="10"/>
        <v>14038.103291390727</v>
      </c>
      <c r="AW19">
        <f t="shared" ca="1" si="3"/>
        <v>33820.746219126871</v>
      </c>
      <c r="AX19">
        <f t="shared" si="11"/>
        <v>2.8756989429200002</v>
      </c>
      <c r="AY19">
        <f t="shared" si="4"/>
        <v>14</v>
      </c>
      <c r="AZ19">
        <f ca="1">OFFSET(Coastal_DDF!$F$10,0,AY19,1,1)</f>
        <v>2</v>
      </c>
      <c r="BA19">
        <f ca="1">OFFSET(Coastal_DDF!$F$10,0,AY19+1,1,1)</f>
        <v>3</v>
      </c>
      <c r="BB19">
        <f ca="1">OFFSET(Coastal_DDF!$F$10,AM19,AY19,1,1)</f>
        <v>28</v>
      </c>
      <c r="BC19">
        <f ca="1">OFFSET(Coastal_DDF!$F$10,AM19,AY19+1,1,1)</f>
        <v>33</v>
      </c>
      <c r="BD19">
        <f t="shared" ca="1" si="12"/>
        <v>5</v>
      </c>
      <c r="BE19">
        <f t="shared" ca="1" si="13"/>
        <v>32.378494714600002</v>
      </c>
      <c r="BF19">
        <f t="shared" ca="1" si="14"/>
        <v>10541.142739285177</v>
      </c>
      <c r="BG19">
        <f t="shared" ca="1" si="5"/>
        <v>25395.832046883104</v>
      </c>
    </row>
    <row r="20" spans="1:59" x14ac:dyDescent="0.25">
      <c r="A20">
        <f>Inputs!A20</f>
        <v>20</v>
      </c>
      <c r="B20" t="str">
        <f>Inputs!B20</f>
        <v>NPS-1A</v>
      </c>
      <c r="C20">
        <f>Inputs!C20</f>
        <v>1</v>
      </c>
      <c r="D20" s="5" t="str">
        <f>Inputs!D20</f>
        <v>NY_NPS_1A_0036</v>
      </c>
      <c r="E20">
        <f>Inputs!E20</f>
        <v>0</v>
      </c>
      <c r="F20">
        <f>Inputs!F20</f>
        <v>0</v>
      </c>
      <c r="G20">
        <f>Inputs!G20</f>
        <v>6.9797969999999996</v>
      </c>
      <c r="H20">
        <f>Inputs!H20</f>
        <v>2.5904980000000002</v>
      </c>
      <c r="I20">
        <f>Inputs!I20</f>
        <v>-0.399503</v>
      </c>
      <c r="J20">
        <f>Inputs!J20</f>
        <v>2.5904980000000002</v>
      </c>
      <c r="K20">
        <f>Inputs!K20</f>
        <v>1.62</v>
      </c>
      <c r="L20" t="str">
        <f>Inputs!L20</f>
        <v>No</v>
      </c>
      <c r="M20">
        <f>Inputs!M20</f>
        <v>0</v>
      </c>
      <c r="N20">
        <f>Inputs!N20</f>
        <v>8.4990094583199998</v>
      </c>
      <c r="O20">
        <f>Inputs!O20</f>
        <v>-1.3107054225199999</v>
      </c>
      <c r="P20">
        <f>Inputs!P20</f>
        <v>8.4990094583199998</v>
      </c>
      <c r="Q20">
        <f>Inputs!Q20</f>
        <v>75.129836928299994</v>
      </c>
      <c r="R20" t="str">
        <f>Inputs!R20</f>
        <v>remove - nothing there</v>
      </c>
      <c r="S20" t="str">
        <f>Inputs!S20</f>
        <v>16325; 1</v>
      </c>
      <c r="T20">
        <f>Inputs!T20</f>
        <v>0</v>
      </c>
      <c r="U20">
        <f>Inputs!U20</f>
        <v>0</v>
      </c>
      <c r="V20">
        <f>IF(Inputs!V20=0,2020,Inputs!V20)</f>
        <v>2020</v>
      </c>
      <c r="W20">
        <f>Inputs!W20</f>
        <v>0</v>
      </c>
      <c r="X20" t="str">
        <f>IF(Inputs!X20=0,"UNK",Inputs!X20)</f>
        <v>UNK</v>
      </c>
      <c r="Y20" t="str">
        <f>Inputs!Y20</f>
        <v>No</v>
      </c>
      <c r="Z20" t="str">
        <f>Inputs!Z20</f>
        <v>Slab</v>
      </c>
      <c r="AA20">
        <f>Inputs!AA20</f>
        <v>75.129836928299994</v>
      </c>
      <c r="AB20">
        <f>IF(Z20="Piers",MIN(2,Inputs!AB20),Inputs!AB20)</f>
        <v>0</v>
      </c>
      <c r="AC20">
        <f>Inputs!AC20</f>
        <v>1</v>
      </c>
      <c r="AD20">
        <f>Inputs!AD20</f>
        <v>0</v>
      </c>
      <c r="AE20">
        <f>Inputs!AE20</f>
        <v>0</v>
      </c>
      <c r="AF20">
        <f>Inputs!AF20</f>
        <v>0</v>
      </c>
      <c r="AG20">
        <v>0</v>
      </c>
      <c r="AH20">
        <f>Inputs!AH20</f>
        <v>0</v>
      </c>
      <c r="AI20" t="str">
        <f>Inputs!AI20</f>
        <v>building not on tax map or on google earth</v>
      </c>
      <c r="AJ20" t="str">
        <f>Inputs!AJ20</f>
        <v>Jacob Riis Beach</v>
      </c>
      <c r="AK20" t="str">
        <f t="shared" si="0"/>
        <v>Unknown</v>
      </c>
      <c r="AL20" t="str">
        <f t="shared" si="6"/>
        <v>UNK</v>
      </c>
      <c r="AM20">
        <f t="shared" si="1"/>
        <v>30</v>
      </c>
      <c r="AN20">
        <f t="shared" si="7"/>
        <v>7.4990094583199998</v>
      </c>
      <c r="AO20">
        <f t="shared" si="2"/>
        <v>19</v>
      </c>
      <c r="AP20">
        <f ca="1">OFFSET(Coastal_DDF!$F$10,0,AO20,1,1)</f>
        <v>7</v>
      </c>
      <c r="AQ20">
        <f ca="1">OFFSET(Coastal_DDF!$F$10,0,AO20+1,1,1)</f>
        <v>8</v>
      </c>
      <c r="AR20">
        <f ca="1">OFFSET(Coastal_DDF!$F$10,AM20,AO20,1,1)</f>
        <v>36</v>
      </c>
      <c r="AS20">
        <f ca="1">OFFSET(Coastal_DDF!$F$10,AM20,AO20+1,1,1)</f>
        <v>39</v>
      </c>
      <c r="AT20">
        <f t="shared" ca="1" si="8"/>
        <v>3</v>
      </c>
      <c r="AU20">
        <f t="shared" ca="1" si="9"/>
        <v>37.497028374959996</v>
      </c>
      <c r="AV20">
        <f t="shared" ca="1" si="10"/>
        <v>0</v>
      </c>
      <c r="AW20">
        <f t="shared" ca="1" si="3"/>
        <v>0</v>
      </c>
      <c r="AX20">
        <f t="shared" si="11"/>
        <v>-99</v>
      </c>
      <c r="AY20" t="e">
        <f t="shared" si="4"/>
        <v>#N/A</v>
      </c>
      <c r="AZ20" t="e">
        <f ca="1">OFFSET(Coastal_DDF!$F$10,0,AY20,1,1)</f>
        <v>#N/A</v>
      </c>
      <c r="BA20" t="e">
        <f ca="1">OFFSET(Coastal_DDF!$F$10,0,AY20+1,1,1)</f>
        <v>#N/A</v>
      </c>
      <c r="BB20" t="e">
        <f ca="1">OFFSET(Coastal_DDF!$F$10,AM20,AY20,1,1)</f>
        <v>#N/A</v>
      </c>
      <c r="BC20" t="e">
        <f ca="1">OFFSET(Coastal_DDF!$F$10,AM20,AY20+1,1,1)</f>
        <v>#N/A</v>
      </c>
      <c r="BD20" t="e">
        <f t="shared" ca="1" si="12"/>
        <v>#N/A</v>
      </c>
      <c r="BE20" t="e">
        <f t="shared" ca="1" si="13"/>
        <v>#N/A</v>
      </c>
      <c r="BF20" t="e">
        <f t="shared" ca="1" si="14"/>
        <v>#N/A</v>
      </c>
      <c r="BG20">
        <f t="shared" si="5"/>
        <v>0</v>
      </c>
    </row>
    <row r="21" spans="1:59" x14ac:dyDescent="0.25">
      <c r="A21">
        <f>Inputs!A21</f>
        <v>20</v>
      </c>
      <c r="B21" t="str">
        <f>Inputs!B21</f>
        <v>NPS-1A</v>
      </c>
      <c r="C21">
        <f>Inputs!C21</f>
        <v>1</v>
      </c>
      <c r="D21" s="5" t="str">
        <f>Inputs!D21</f>
        <v>NY_NPS_1A_0037</v>
      </c>
      <c r="E21">
        <f>Inputs!E21</f>
        <v>0</v>
      </c>
      <c r="F21">
        <f>Inputs!F21</f>
        <v>0</v>
      </c>
      <c r="G21">
        <f>Inputs!G21</f>
        <v>46.485855000000001</v>
      </c>
      <c r="H21">
        <f>Inputs!H21</f>
        <v>2.6036239999999999</v>
      </c>
      <c r="I21">
        <f>Inputs!I21</f>
        <v>-0.43637599999999999</v>
      </c>
      <c r="J21">
        <f>Inputs!J21</f>
        <v>2.6036239999999999</v>
      </c>
      <c r="K21">
        <f>Inputs!K21</f>
        <v>1.62</v>
      </c>
      <c r="L21" t="str">
        <f>Inputs!L21</f>
        <v>No</v>
      </c>
      <c r="M21">
        <f>Inputs!M21</f>
        <v>0</v>
      </c>
      <c r="N21">
        <f>Inputs!N21</f>
        <v>8.5420737641599995</v>
      </c>
      <c r="O21">
        <f>Inputs!O21</f>
        <v>-1.43167983584</v>
      </c>
      <c r="P21">
        <f>Inputs!P21</f>
        <v>8.5420737641599995</v>
      </c>
      <c r="Q21">
        <f>Inputs!Q21</f>
        <v>500.36909463450002</v>
      </c>
      <c r="R21" t="str">
        <f>Inputs!R21</f>
        <v>remove - nothing there</v>
      </c>
      <c r="S21" t="str">
        <f>Inputs!S21</f>
        <v>16325; 200</v>
      </c>
      <c r="T21">
        <f>Inputs!T21</f>
        <v>0</v>
      </c>
      <c r="U21">
        <f>Inputs!U21</f>
        <v>0</v>
      </c>
      <c r="V21">
        <f>IF(Inputs!V21=0,2020,Inputs!V21)</f>
        <v>2020</v>
      </c>
      <c r="W21">
        <f>Inputs!W21</f>
        <v>0</v>
      </c>
      <c r="X21" t="str">
        <f>IF(Inputs!X21=0,"UNK",Inputs!X21)</f>
        <v>UNK</v>
      </c>
      <c r="Y21" t="str">
        <f>Inputs!Y21</f>
        <v>Yes</v>
      </c>
      <c r="Z21" t="str">
        <f>Inputs!Z21</f>
        <v>Slab</v>
      </c>
      <c r="AA21">
        <f>Inputs!AA21</f>
        <v>500.36909463450002</v>
      </c>
      <c r="AB21">
        <f>IF(Z21="Piers",MIN(2,Inputs!AB21),Inputs!AB21)</f>
        <v>0</v>
      </c>
      <c r="AC21">
        <f>Inputs!AC21</f>
        <v>1</v>
      </c>
      <c r="AD21">
        <f>Inputs!AD21</f>
        <v>0</v>
      </c>
      <c r="AE21">
        <f>Inputs!AE21</f>
        <v>0</v>
      </c>
      <c r="AF21">
        <f>Inputs!AF21</f>
        <v>0</v>
      </c>
      <c r="AG21">
        <f>Inputs!AG21</f>
        <v>0</v>
      </c>
      <c r="AH21">
        <f>Inputs!AH21</f>
        <v>0</v>
      </c>
      <c r="AI21" t="str">
        <f>Inputs!AI21</f>
        <v>dugout for baseball diamond</v>
      </c>
      <c r="AJ21" t="str">
        <f>Inputs!AJ21</f>
        <v>Jacob Riis Beach</v>
      </c>
      <c r="AK21" t="str">
        <f t="shared" si="0"/>
        <v>Unknown</v>
      </c>
      <c r="AL21" t="str">
        <f t="shared" si="6"/>
        <v>UNK</v>
      </c>
      <c r="AM21">
        <f t="shared" si="1"/>
        <v>30</v>
      </c>
      <c r="AN21">
        <f t="shared" si="7"/>
        <v>7.5420737641599995</v>
      </c>
      <c r="AO21">
        <f t="shared" si="2"/>
        <v>19</v>
      </c>
      <c r="AP21">
        <f ca="1">OFFSET(Coastal_DDF!$F$10,0,AO21,1,1)</f>
        <v>7</v>
      </c>
      <c r="AQ21">
        <f ca="1">OFFSET(Coastal_DDF!$F$10,0,AO21+1,1,1)</f>
        <v>8</v>
      </c>
      <c r="AR21">
        <f ca="1">OFFSET(Coastal_DDF!$F$10,AM21,AO21,1,1)</f>
        <v>36</v>
      </c>
      <c r="AS21">
        <f ca="1">OFFSET(Coastal_DDF!$F$10,AM21,AO21+1,1,1)</f>
        <v>39</v>
      </c>
      <c r="AT21">
        <f t="shared" ca="1" si="8"/>
        <v>3</v>
      </c>
      <c r="AU21">
        <f t="shared" ca="1" si="9"/>
        <v>37.626221292479997</v>
      </c>
      <c r="AV21">
        <f t="shared" ca="1" si="10"/>
        <v>0</v>
      </c>
      <c r="AW21">
        <f t="shared" ca="1" si="3"/>
        <v>0</v>
      </c>
      <c r="AX21">
        <f t="shared" si="11"/>
        <v>-99</v>
      </c>
      <c r="AY21" t="e">
        <f t="shared" si="4"/>
        <v>#N/A</v>
      </c>
      <c r="AZ21" t="e">
        <f ca="1">OFFSET(Coastal_DDF!$F$10,0,AY21,1,1)</f>
        <v>#N/A</v>
      </c>
      <c r="BA21" t="e">
        <f ca="1">OFFSET(Coastal_DDF!$F$10,0,AY21+1,1,1)</f>
        <v>#N/A</v>
      </c>
      <c r="BB21" t="e">
        <f ca="1">OFFSET(Coastal_DDF!$F$10,AM21,AY21,1,1)</f>
        <v>#N/A</v>
      </c>
      <c r="BC21" t="e">
        <f ca="1">OFFSET(Coastal_DDF!$F$10,AM21,AY21+1,1,1)</f>
        <v>#N/A</v>
      </c>
      <c r="BD21" t="e">
        <f t="shared" ca="1" si="12"/>
        <v>#N/A</v>
      </c>
      <c r="BE21" t="e">
        <f t="shared" ca="1" si="13"/>
        <v>#N/A</v>
      </c>
      <c r="BF21" t="e">
        <f t="shared" ca="1" si="14"/>
        <v>#N/A</v>
      </c>
      <c r="BG21">
        <f t="shared" si="5"/>
        <v>0</v>
      </c>
    </row>
    <row r="22" spans="1:59" x14ac:dyDescent="0.25">
      <c r="A22">
        <f>Inputs!A22</f>
        <v>20</v>
      </c>
      <c r="B22" t="str">
        <f>Inputs!B22</f>
        <v>NPS-1A</v>
      </c>
      <c r="C22">
        <f>Inputs!C22</f>
        <v>1</v>
      </c>
      <c r="D22" t="str">
        <f>Inputs!D22</f>
        <v>NY_NPS_1A_0038</v>
      </c>
      <c r="E22">
        <f>Inputs!E22</f>
        <v>0</v>
      </c>
      <c r="F22">
        <f>Inputs!F22</f>
        <v>0</v>
      </c>
      <c r="G22">
        <f>Inputs!G22</f>
        <v>15.134173000000001</v>
      </c>
      <c r="H22">
        <f>Inputs!H22</f>
        <v>2.4007909999999999</v>
      </c>
      <c r="I22">
        <f>Inputs!I22</f>
        <v>2.3307910000000001</v>
      </c>
      <c r="J22">
        <f>Inputs!J22</f>
        <v>7.0000000000000007E-2</v>
      </c>
      <c r="K22">
        <f>Inputs!K22</f>
        <v>1.62</v>
      </c>
      <c r="L22" t="str">
        <f>Inputs!L22</f>
        <v>No</v>
      </c>
      <c r="M22">
        <f>Inputs!M22</f>
        <v>0</v>
      </c>
      <c r="N22">
        <f>Inputs!N22</f>
        <v>7.87661114444</v>
      </c>
      <c r="O22">
        <f>Inputs!O22</f>
        <v>7.6469523444399998</v>
      </c>
      <c r="P22">
        <f>Inputs!P22</f>
        <v>0.22965880000000002</v>
      </c>
      <c r="Q22">
        <f>Inputs!Q22</f>
        <v>162.90272475469999</v>
      </c>
      <c r="R22" t="str">
        <f>Inputs!R22</f>
        <v>RS Means - median restaurant (335)</v>
      </c>
      <c r="S22" t="str">
        <f>Inputs!S22</f>
        <v>16325; 200</v>
      </c>
      <c r="T22">
        <f>Inputs!T22</f>
        <v>0</v>
      </c>
      <c r="U22">
        <f>Inputs!U22</f>
        <v>27776.543597923894</v>
      </c>
      <c r="V22">
        <f>IF(Inputs!V22=0,2020,Inputs!V22)</f>
        <v>2006</v>
      </c>
      <c r="W22">
        <f>Inputs!W22</f>
        <v>0</v>
      </c>
      <c r="X22" t="str">
        <f>IF(Inputs!X22=0,"UNK",Inputs!X22)</f>
        <v>COM8</v>
      </c>
      <c r="Y22" t="str">
        <f>Inputs!Y22</f>
        <v>Yes</v>
      </c>
      <c r="Z22" t="str">
        <f>Inputs!Z22</f>
        <v>Slab</v>
      </c>
      <c r="AA22">
        <f>Inputs!AA22</f>
        <v>162.90272475469999</v>
      </c>
      <c r="AB22">
        <f>IF(Z22="Piers",MIN(2,Inputs!AB22),Inputs!AB22)</f>
        <v>1</v>
      </c>
      <c r="AC22">
        <f>Inputs!AC22</f>
        <v>1</v>
      </c>
      <c r="AD22">
        <f>Inputs!AD22</f>
        <v>170.51</v>
      </c>
      <c r="AE22">
        <f>Inputs!AE22</f>
        <v>2006</v>
      </c>
      <c r="AF22" t="str">
        <f>Inputs!AF22</f>
        <v>Based on restuarant</v>
      </c>
      <c r="AG22">
        <v>0</v>
      </c>
      <c r="AH22" t="str">
        <f>Inputs!AH22</f>
        <v>https://riisparkbeachbazaar.com/</v>
      </c>
      <c r="AI22" t="str">
        <f>Inputs!AI22</f>
        <v>Two Dude's Takeout</v>
      </c>
      <c r="AJ22" t="str">
        <f>Inputs!AJ22</f>
        <v>Jacob Riis Beach</v>
      </c>
      <c r="AK22" t="str">
        <f t="shared" si="0"/>
        <v>Com</v>
      </c>
      <c r="AL22" t="str">
        <f t="shared" si="6"/>
        <v>COM8</v>
      </c>
      <c r="AM22">
        <f t="shared" si="1"/>
        <v>15</v>
      </c>
      <c r="AN22">
        <f t="shared" si="7"/>
        <v>6.87661114444</v>
      </c>
      <c r="AO22">
        <f t="shared" si="2"/>
        <v>18</v>
      </c>
      <c r="AP22">
        <f ca="1">OFFSET(Coastal_DDF!$F$10,0,AO22,1,1)</f>
        <v>6</v>
      </c>
      <c r="AQ22">
        <f ca="1">OFFSET(Coastal_DDF!$F$10,0,AO22+1,1,1)</f>
        <v>7</v>
      </c>
      <c r="AR22">
        <f ca="1">OFFSET(Coastal_DDF!$F$10,AM22,AO22,1,1)</f>
        <v>17</v>
      </c>
      <c r="AS22">
        <f ca="1">OFFSET(Coastal_DDF!$F$10,AM22,AO22+1,1,1)</f>
        <v>18</v>
      </c>
      <c r="AT22">
        <f t="shared" ca="1" si="8"/>
        <v>1</v>
      </c>
      <c r="AU22">
        <f t="shared" ca="1" si="9"/>
        <v>17.876611144439998</v>
      </c>
      <c r="AV22">
        <f t="shared" ca="1" si="10"/>
        <v>4965.5046883666982</v>
      </c>
      <c r="AW22">
        <f t="shared" ca="1" si="3"/>
        <v>6420.7903138414013</v>
      </c>
      <c r="AX22">
        <f t="shared" si="11"/>
        <v>6.6469523444399998</v>
      </c>
      <c r="AY22">
        <f t="shared" si="4"/>
        <v>18</v>
      </c>
      <c r="AZ22">
        <f ca="1">OFFSET(Coastal_DDF!$F$10,0,AY22,1,1)</f>
        <v>6</v>
      </c>
      <c r="BA22">
        <f ca="1">OFFSET(Coastal_DDF!$F$10,0,AY22+1,1,1)</f>
        <v>7</v>
      </c>
      <c r="BB22">
        <f ca="1">OFFSET(Coastal_DDF!$F$10,AM22,AY22,1,1)</f>
        <v>17</v>
      </c>
      <c r="BC22">
        <f ca="1">OFFSET(Coastal_DDF!$F$10,AM22,AY22+1,1,1)</f>
        <v>18</v>
      </c>
      <c r="BD22">
        <f t="shared" ca="1" si="12"/>
        <v>1</v>
      </c>
      <c r="BE22">
        <f t="shared" ca="1" si="13"/>
        <v>17.646952344439999</v>
      </c>
      <c r="BF22">
        <f t="shared" ca="1" si="14"/>
        <v>4901.7134116582283</v>
      </c>
      <c r="BG22">
        <f t="shared" ca="1" si="5"/>
        <v>6338.3031474196441</v>
      </c>
    </row>
    <row r="23" spans="1:59" x14ac:dyDescent="0.25">
      <c r="A23">
        <f>Inputs!A23</f>
        <v>100</v>
      </c>
      <c r="B23" t="str">
        <f>Inputs!B23</f>
        <v>NPS-1A</v>
      </c>
      <c r="C23">
        <f>Inputs!C23</f>
        <v>1</v>
      </c>
      <c r="D23" t="str">
        <f>Inputs!D23</f>
        <v>NY_NPS_1A_0016</v>
      </c>
      <c r="E23">
        <f>Inputs!E23</f>
        <v>0</v>
      </c>
      <c r="F23">
        <f>Inputs!F23</f>
        <v>0</v>
      </c>
      <c r="G23">
        <f>Inputs!G23</f>
        <v>122.990993</v>
      </c>
      <c r="H23">
        <f>Inputs!H23</f>
        <v>4.3840000000000003</v>
      </c>
      <c r="I23">
        <f>Inputs!I23</f>
        <v>1.1140000000000001</v>
      </c>
      <c r="J23">
        <f>Inputs!J23</f>
        <v>3.27</v>
      </c>
      <c r="K23">
        <f>Inputs!K23</f>
        <v>4.9000000000000004</v>
      </c>
      <c r="L23" t="str">
        <f>Inputs!L23</f>
        <v>No</v>
      </c>
      <c r="M23">
        <f>Inputs!M23</f>
        <v>0</v>
      </c>
      <c r="N23">
        <f>Inputs!N23</f>
        <v>14.383202560000001</v>
      </c>
      <c r="O23">
        <f>Inputs!O23</f>
        <v>3.6548557600000002</v>
      </c>
      <c r="P23">
        <f>Inputs!P23</f>
        <v>10.728346800000001</v>
      </c>
      <c r="Q23">
        <f>Inputs!Q23</f>
        <v>1323.8627495527001</v>
      </c>
      <c r="R23" t="str">
        <f>Inputs!R23</f>
        <v>RS Means - median gymnasium (199)</v>
      </c>
      <c r="S23" t="str">
        <f>Inputs!S23</f>
        <v>16330; 60</v>
      </c>
      <c r="T23">
        <f>Inputs!T23</f>
        <v>0</v>
      </c>
      <c r="U23">
        <f>Inputs!U23</f>
        <v>225731.83742623086</v>
      </c>
      <c r="V23">
        <f>IF(Inputs!V23=0,2020,Inputs!V23)</f>
        <v>2006</v>
      </c>
      <c r="W23">
        <f>Inputs!W23</f>
        <v>1980</v>
      </c>
      <c r="X23" t="str">
        <f>IF(Inputs!X23=0,"UNK",Inputs!X23)</f>
        <v>COM8</v>
      </c>
      <c r="Y23" t="str">
        <f>Inputs!Y23</f>
        <v>No</v>
      </c>
      <c r="Z23" t="str">
        <f>Inputs!Z23</f>
        <v>Slab</v>
      </c>
      <c r="AA23">
        <f>Inputs!AA23</f>
        <v>1323.8627495527001</v>
      </c>
      <c r="AB23">
        <f>IF(Z23="Piers",MIN(2,Inputs!AB23),Inputs!AB23)</f>
        <v>1</v>
      </c>
      <c r="AC23">
        <f>Inputs!AC23</f>
        <v>1</v>
      </c>
      <c r="AD23">
        <f>Inputs!AD23</f>
        <v>170.51</v>
      </c>
      <c r="AE23">
        <f>Inputs!AE23</f>
        <v>2006</v>
      </c>
      <c r="AF23" t="str">
        <f>Inputs!AF23</f>
        <v>Based on restuarant</v>
      </c>
      <c r="AG23">
        <v>0</v>
      </c>
      <c r="AH23" t="str">
        <f>Inputs!AH23</f>
        <v>https://www.esf.edu/cclp/documents/GATE_CLR_Fort_Tilden_062013.pdf</v>
      </c>
      <c r="AI23" t="str">
        <f>Inputs!AI23</f>
        <v>potentially private residence on Fort Tilden (Building T-25)/Senior citizens center/renovated in 1980s</v>
      </c>
      <c r="AJ23" t="str">
        <f>Inputs!AJ23</f>
        <v>Fort Tilden</v>
      </c>
      <c r="AK23" t="str">
        <f t="shared" si="0"/>
        <v>Com</v>
      </c>
      <c r="AL23" t="str">
        <f t="shared" si="6"/>
        <v>COM8</v>
      </c>
      <c r="AM23">
        <f t="shared" si="1"/>
        <v>15</v>
      </c>
      <c r="AN23">
        <f t="shared" si="7"/>
        <v>13.383202560000001</v>
      </c>
      <c r="AO23">
        <f t="shared" si="2"/>
        <v>25</v>
      </c>
      <c r="AP23">
        <f ca="1">OFFSET(Coastal_DDF!$F$10,0,AO23,1,1)</f>
        <v>13</v>
      </c>
      <c r="AQ23">
        <f ca="1">OFFSET(Coastal_DDF!$F$10,0,AO23+1,1,1)</f>
        <v>14</v>
      </c>
      <c r="AR23">
        <f ca="1">OFFSET(Coastal_DDF!$F$10,AM23,AO23,1,1)</f>
        <v>34</v>
      </c>
      <c r="AS23">
        <f ca="1">OFFSET(Coastal_DDF!$F$10,AM23,AO23+1,1,1)</f>
        <v>37</v>
      </c>
      <c r="AT23">
        <f t="shared" ca="1" si="8"/>
        <v>3</v>
      </c>
      <c r="AU23">
        <f t="shared" ca="1" si="9"/>
        <v>35.149607680000003</v>
      </c>
      <c r="AV23">
        <f t="shared" ca="1" si="10"/>
        <v>79343.855264175552</v>
      </c>
      <c r="AW23">
        <f t="shared" ca="1" si="3"/>
        <v>102597.88064174113</v>
      </c>
      <c r="AX23">
        <f t="shared" si="11"/>
        <v>2.6548557600000002</v>
      </c>
      <c r="AY23">
        <f t="shared" si="4"/>
        <v>14</v>
      </c>
      <c r="AZ23">
        <f ca="1">OFFSET(Coastal_DDF!$F$10,0,AY23,1,1)</f>
        <v>2</v>
      </c>
      <c r="BA23">
        <f ca="1">OFFSET(Coastal_DDF!$F$10,0,AY23+1,1,1)</f>
        <v>3</v>
      </c>
      <c r="BB23">
        <f ca="1">OFFSET(Coastal_DDF!$F$10,AM23,AY23,1,1)</f>
        <v>12</v>
      </c>
      <c r="BC23">
        <f ca="1">OFFSET(Coastal_DDF!$F$10,AM23,AY23+1,1,1)</f>
        <v>13</v>
      </c>
      <c r="BD23">
        <f t="shared" ca="1" si="12"/>
        <v>1</v>
      </c>
      <c r="BE23">
        <f t="shared" ca="1" si="13"/>
        <v>12.65485576</v>
      </c>
      <c r="BF23">
        <f t="shared" ca="1" si="14"/>
        <v>28566.038430687211</v>
      </c>
      <c r="BG23">
        <f t="shared" ca="1" si="5"/>
        <v>36938.147151545396</v>
      </c>
    </row>
    <row r="24" spans="1:59" x14ac:dyDescent="0.25">
      <c r="A24">
        <f>Inputs!A24</f>
        <v>100</v>
      </c>
      <c r="B24" t="str">
        <f>Inputs!B24</f>
        <v>NPS-1A</v>
      </c>
      <c r="C24">
        <f>Inputs!C24</f>
        <v>1</v>
      </c>
      <c r="D24" t="str">
        <f>Inputs!D24</f>
        <v>NY_NPS_1A_0017</v>
      </c>
      <c r="E24">
        <f>Inputs!E24</f>
        <v>0</v>
      </c>
      <c r="F24">
        <f>Inputs!F24</f>
        <v>0</v>
      </c>
      <c r="G24">
        <f>Inputs!G24</f>
        <v>166.026702</v>
      </c>
      <c r="H24">
        <f>Inputs!H24</f>
        <v>3.6384409999999998</v>
      </c>
      <c r="I24">
        <f>Inputs!I24</f>
        <v>0.20843999999999999</v>
      </c>
      <c r="J24">
        <f>Inputs!J24</f>
        <v>3.43</v>
      </c>
      <c r="K24">
        <f>Inputs!K24</f>
        <v>4.9000000000000004</v>
      </c>
      <c r="L24" t="str">
        <f>Inputs!L24</f>
        <v>No</v>
      </c>
      <c r="M24">
        <f>Inputs!M24</f>
        <v>0</v>
      </c>
      <c r="N24">
        <f>Inputs!N24</f>
        <v>11.937142770439999</v>
      </c>
      <c r="O24">
        <f>Inputs!O24</f>
        <v>0.68385828959999995</v>
      </c>
      <c r="P24">
        <f>Inputs!P24</f>
        <v>11.2532812</v>
      </c>
      <c r="Q24">
        <f>Inputs!Q24</f>
        <v>1787.0948176577999</v>
      </c>
      <c r="R24" t="str">
        <f>Inputs!R24</f>
        <v>RS Means - median warehouse (123)</v>
      </c>
      <c r="S24" t="str">
        <f>Inputs!S24</f>
        <v>16325; 1</v>
      </c>
      <c r="T24">
        <f>Inputs!T24</f>
        <v>0</v>
      </c>
      <c r="U24">
        <f>Inputs!U24</f>
        <v>191719.53203832879</v>
      </c>
      <c r="V24">
        <f>IF(Inputs!V24=0,2020,Inputs!V24)</f>
        <v>2006</v>
      </c>
      <c r="W24">
        <f>Inputs!W24</f>
        <v>0</v>
      </c>
      <c r="X24" t="str">
        <f>IF(Inputs!X24=0,"UNK",Inputs!X24)</f>
        <v>GOV1</v>
      </c>
      <c r="Y24" t="str">
        <f>Inputs!Y24</f>
        <v>No</v>
      </c>
      <c r="Z24" t="str">
        <f>Inputs!Z24</f>
        <v>Slab</v>
      </c>
      <c r="AA24">
        <f>Inputs!AA24</f>
        <v>1787.0948176577999</v>
      </c>
      <c r="AB24">
        <f>IF(Z24="Piers",MIN(2,Inputs!AB24),Inputs!AB24)</f>
        <v>1</v>
      </c>
      <c r="AC24">
        <f>Inputs!AC24</f>
        <v>1</v>
      </c>
      <c r="AD24">
        <f>Inputs!AD24</f>
        <v>107.28</v>
      </c>
      <c r="AE24">
        <f>Inputs!AE24</f>
        <v>2006</v>
      </c>
      <c r="AF24" t="str">
        <f>Inputs!AF24</f>
        <v>based on small townhall</v>
      </c>
      <c r="AG24">
        <f>Inputs!AG24</f>
        <v>0</v>
      </c>
      <c r="AH24">
        <f>Inputs!AH24</f>
        <v>0</v>
      </c>
      <c r="AI24" t="str">
        <f>Inputs!AI24</f>
        <v>brick storage shed with corrugated metal pull down doors; entrance to parking lot</v>
      </c>
      <c r="AJ24" t="str">
        <f>Inputs!AJ24</f>
        <v>Jacob Riis Beach</v>
      </c>
      <c r="AK24" t="str">
        <f t="shared" si="0"/>
        <v>Pub</v>
      </c>
      <c r="AL24" t="str">
        <f t="shared" si="6"/>
        <v>GOV1</v>
      </c>
      <c r="AM24">
        <f t="shared" si="1"/>
        <v>8</v>
      </c>
      <c r="AN24">
        <f t="shared" si="7"/>
        <v>10.937142770439999</v>
      </c>
      <c r="AO24">
        <f t="shared" si="2"/>
        <v>22</v>
      </c>
      <c r="AP24">
        <f ca="1">OFFSET(Coastal_DDF!$F$10,0,AO24,1,1)</f>
        <v>10</v>
      </c>
      <c r="AQ24">
        <f ca="1">OFFSET(Coastal_DDF!$F$10,0,AO24+1,1,1)</f>
        <v>11</v>
      </c>
      <c r="AR24">
        <f ca="1">OFFSET(Coastal_DDF!$F$10,AM24,AO24,1,1)</f>
        <v>26</v>
      </c>
      <c r="AS24">
        <f ca="1">OFFSET(Coastal_DDF!$F$10,AM24,AO24+1,1,1)</f>
        <v>31</v>
      </c>
      <c r="AT24">
        <f t="shared" ca="1" si="8"/>
        <v>5</v>
      </c>
      <c r="AU24">
        <f t="shared" ca="1" si="9"/>
        <v>30.685713852199996</v>
      </c>
      <c r="AV24">
        <f t="shared" ca="1" si="10"/>
        <v>58830.507000058467</v>
      </c>
      <c r="AW24">
        <f t="shared" ca="1" si="3"/>
        <v>76072.498811516271</v>
      </c>
      <c r="AX24">
        <f t="shared" si="11"/>
        <v>-0.31614171040000005</v>
      </c>
      <c r="AY24">
        <f t="shared" si="4"/>
        <v>10</v>
      </c>
      <c r="AZ24">
        <f ca="1">OFFSET(Coastal_DDF!$F$10,0,AY24,1,1)</f>
        <v>-0.5</v>
      </c>
      <c r="BA24">
        <f ca="1">OFFSET(Coastal_DDF!$F$10,0,AY24+1,1,1)</f>
        <v>0</v>
      </c>
      <c r="BB24">
        <f ca="1">OFFSET(Coastal_DDF!$F$10,AM24,AY24,1,1)</f>
        <v>0</v>
      </c>
      <c r="BC24">
        <f ca="1">OFFSET(Coastal_DDF!$F$10,AM24,AY24+1,1,1)</f>
        <v>0</v>
      </c>
      <c r="BD24">
        <f t="shared" ca="1" si="12"/>
        <v>0</v>
      </c>
      <c r="BE24">
        <f t="shared" ca="1" si="13"/>
        <v>0</v>
      </c>
      <c r="BF24">
        <f t="shared" ca="1" si="14"/>
        <v>0</v>
      </c>
      <c r="BG24">
        <f t="shared" ca="1" si="5"/>
        <v>0</v>
      </c>
    </row>
    <row r="25" spans="1:59" x14ac:dyDescent="0.25">
      <c r="A25">
        <f>Inputs!A25</f>
        <v>100</v>
      </c>
      <c r="B25" t="str">
        <f>Inputs!B25</f>
        <v>NPS-1A</v>
      </c>
      <c r="C25">
        <f>Inputs!C25</f>
        <v>1</v>
      </c>
      <c r="D25" t="str">
        <f>Inputs!D25</f>
        <v>NY_NPS_1A_0018</v>
      </c>
      <c r="E25">
        <f>Inputs!E25</f>
        <v>11</v>
      </c>
      <c r="F25">
        <f>Inputs!F25</f>
        <v>0</v>
      </c>
      <c r="G25">
        <f>Inputs!G25</f>
        <v>2131.7189149999999</v>
      </c>
      <c r="H25">
        <f>Inputs!H25</f>
        <v>3.9239999999999999</v>
      </c>
      <c r="I25">
        <f>Inputs!I25</f>
        <v>3.794</v>
      </c>
      <c r="J25">
        <f>Inputs!J25</f>
        <v>0.13</v>
      </c>
      <c r="K25">
        <f>Inputs!K25</f>
        <v>1.62</v>
      </c>
      <c r="L25" t="str">
        <f>Inputs!L25</f>
        <v>C</v>
      </c>
      <c r="M25">
        <f>Inputs!M25</f>
        <v>0</v>
      </c>
      <c r="N25">
        <f>Inputs!N25</f>
        <v>12.87401616</v>
      </c>
      <c r="O25">
        <f>Inputs!O25</f>
        <v>12.44750696</v>
      </c>
      <c r="P25">
        <f>Inputs!P25</f>
        <v>0.42650920000000003</v>
      </c>
      <c r="Q25">
        <f>Inputs!Q25</f>
        <v>22945.609229168498</v>
      </c>
      <c r="R25" t="str">
        <f>Inputs!R25</f>
        <v>RS Means - median mixed use (212)</v>
      </c>
      <c r="S25" t="str">
        <f>Inputs!S25</f>
        <v>16325; 1</v>
      </c>
      <c r="T25">
        <f>Inputs!T25</f>
        <v>0</v>
      </c>
      <c r="U25">
        <f>Inputs!U25</f>
        <v>3912455.8296655202</v>
      </c>
      <c r="V25">
        <f>IF(Inputs!V25=0,2020,Inputs!V25)</f>
        <v>2006</v>
      </c>
      <c r="W25">
        <f>Inputs!W25</f>
        <v>0</v>
      </c>
      <c r="X25" t="str">
        <f>IF(Inputs!X25=0,"UNK",Inputs!X25)</f>
        <v>COM8</v>
      </c>
      <c r="Y25" t="str">
        <f>Inputs!Y25</f>
        <v>Yes</v>
      </c>
      <c r="Z25" t="str">
        <f>Inputs!Z25</f>
        <v>Slab</v>
      </c>
      <c r="AA25">
        <f>Inputs!AA25</f>
        <v>22945.609229168498</v>
      </c>
      <c r="AB25">
        <f>IF(Z25="Piers",MIN(2,Inputs!AB25),Inputs!AB25)</f>
        <v>1</v>
      </c>
      <c r="AC25">
        <f>Inputs!AC25</f>
        <v>1</v>
      </c>
      <c r="AD25">
        <f>Inputs!AD25</f>
        <v>170.51</v>
      </c>
      <c r="AE25">
        <f>Inputs!AE25</f>
        <v>2006</v>
      </c>
      <c r="AF25" t="str">
        <f>Inputs!AF25</f>
        <v>Based on restuarant</v>
      </c>
      <c r="AG25">
        <v>0</v>
      </c>
      <c r="AH25" t="str">
        <f>Inputs!AH25</f>
        <v>https://riisparkbeachbazaar.com/</v>
      </c>
      <c r="AI25" t="str">
        <f>Inputs!AI25</f>
        <v>Jacob Riis Bathhouse; renovation only partially complete; historic value; may be vendors there</v>
      </c>
      <c r="AJ25" t="str">
        <f>Inputs!AJ25</f>
        <v>Jacob Riis Beach</v>
      </c>
      <c r="AK25" t="str">
        <f t="shared" si="0"/>
        <v>Com</v>
      </c>
      <c r="AL25" t="str">
        <f t="shared" si="6"/>
        <v>COM8</v>
      </c>
      <c r="AM25">
        <f t="shared" si="1"/>
        <v>15</v>
      </c>
      <c r="AN25">
        <f t="shared" si="7"/>
        <v>11.87401616</v>
      </c>
      <c r="AO25">
        <f t="shared" si="2"/>
        <v>23</v>
      </c>
      <c r="AP25">
        <f ca="1">OFFSET(Coastal_DDF!$F$10,0,AO25,1,1)</f>
        <v>11</v>
      </c>
      <c r="AQ25">
        <f ca="1">OFFSET(Coastal_DDF!$F$10,0,AO25+1,1,1)</f>
        <v>12</v>
      </c>
      <c r="AR25">
        <f ca="1">OFFSET(Coastal_DDF!$F$10,AM25,AO25,1,1)</f>
        <v>27</v>
      </c>
      <c r="AS25">
        <f ca="1">OFFSET(Coastal_DDF!$F$10,AM25,AO25+1,1,1)</f>
        <v>30</v>
      </c>
      <c r="AT25">
        <f t="shared" ca="1" si="8"/>
        <v>3</v>
      </c>
      <c r="AU25">
        <f t="shared" ca="1" si="9"/>
        <v>29.62204848</v>
      </c>
      <c r="AV25">
        <f t="shared" ca="1" si="10"/>
        <v>1158949.5626221066</v>
      </c>
      <c r="AW25">
        <f t="shared" ca="1" si="3"/>
        <v>1498613.452797371</v>
      </c>
      <c r="AX25">
        <f t="shared" si="11"/>
        <v>11.44750696</v>
      </c>
      <c r="AY25">
        <f t="shared" si="4"/>
        <v>23</v>
      </c>
      <c r="AZ25">
        <f ca="1">OFFSET(Coastal_DDF!$F$10,0,AY25,1,1)</f>
        <v>11</v>
      </c>
      <c r="BA25">
        <f ca="1">OFFSET(Coastal_DDF!$F$10,0,AY25+1,1,1)</f>
        <v>12</v>
      </c>
      <c r="BB25">
        <f ca="1">OFFSET(Coastal_DDF!$F$10,AM25,AY25,1,1)</f>
        <v>27</v>
      </c>
      <c r="BC25">
        <f ca="1">OFFSET(Coastal_DDF!$F$10,AM25,AY25+1,1,1)</f>
        <v>30</v>
      </c>
      <c r="BD25">
        <f t="shared" ca="1" si="12"/>
        <v>3</v>
      </c>
      <c r="BE25">
        <f t="shared" ca="1" si="13"/>
        <v>28.342520880000002</v>
      </c>
      <c r="BF25">
        <f t="shared" ca="1" si="14"/>
        <v>1108888.6104437273</v>
      </c>
      <c r="BG25">
        <f t="shared" ca="1" si="5"/>
        <v>1433880.6820073903</v>
      </c>
    </row>
    <row r="26" spans="1:59" x14ac:dyDescent="0.25">
      <c r="A26">
        <f>Inputs!A26</f>
        <v>100</v>
      </c>
      <c r="B26" t="str">
        <f>Inputs!B26</f>
        <v>NPS-1A</v>
      </c>
      <c r="C26">
        <f>Inputs!C26</f>
        <v>1</v>
      </c>
      <c r="D26" t="str">
        <f>Inputs!D26</f>
        <v>NY_NPS_1A_0019</v>
      </c>
      <c r="E26">
        <f>Inputs!E26</f>
        <v>0</v>
      </c>
      <c r="F26">
        <f>Inputs!F26</f>
        <v>0</v>
      </c>
      <c r="G26">
        <f>Inputs!G26</f>
        <v>493.45110699999998</v>
      </c>
      <c r="H26">
        <f>Inputs!H26</f>
        <v>4.1039580000000004</v>
      </c>
      <c r="I26">
        <f>Inputs!I26</f>
        <v>4.083958</v>
      </c>
      <c r="J26">
        <f>Inputs!J26</f>
        <v>0.02</v>
      </c>
      <c r="K26">
        <f>Inputs!K26</f>
        <v>1.62</v>
      </c>
      <c r="L26" t="str">
        <f>Inputs!L26</f>
        <v>No</v>
      </c>
      <c r="M26">
        <f>Inputs!M26</f>
        <v>0</v>
      </c>
      <c r="N26">
        <f>Inputs!N26</f>
        <v>13.464429564720001</v>
      </c>
      <c r="O26">
        <f>Inputs!O26</f>
        <v>13.398812764720001</v>
      </c>
      <c r="P26">
        <f>Inputs!P26</f>
        <v>6.5616800000000003E-2</v>
      </c>
      <c r="Q26">
        <f>Inputs!Q26</f>
        <v>5311.4583706372996</v>
      </c>
      <c r="R26" t="str">
        <f>Inputs!R26</f>
        <v>RS Means - median mixed use (212)</v>
      </c>
      <c r="S26" t="str">
        <f>Inputs!S26</f>
        <v>16325; 1</v>
      </c>
      <c r="T26">
        <f>Inputs!T26</f>
        <v>0</v>
      </c>
      <c r="U26">
        <f>Inputs!U26</f>
        <v>1811313.5335547319</v>
      </c>
      <c r="V26">
        <f>IF(Inputs!V26=0,2020,Inputs!V26)</f>
        <v>2006</v>
      </c>
      <c r="W26">
        <f>Inputs!W26</f>
        <v>0</v>
      </c>
      <c r="X26" t="str">
        <f>IF(Inputs!X26=0,"UNK",Inputs!X26)</f>
        <v>COM8</v>
      </c>
      <c r="Y26" t="str">
        <f>Inputs!Y26</f>
        <v>Yes</v>
      </c>
      <c r="Z26" t="str">
        <f>Inputs!Z26</f>
        <v>Slab</v>
      </c>
      <c r="AA26">
        <f>Inputs!AA26</f>
        <v>10622.916741274599</v>
      </c>
      <c r="AB26">
        <f>IF(Z26="Piers",MIN(2,Inputs!AB26),Inputs!AB26)</f>
        <v>2</v>
      </c>
      <c r="AC26">
        <f>Inputs!AC26</f>
        <v>1</v>
      </c>
      <c r="AD26">
        <f>Inputs!AD26</f>
        <v>170.51</v>
      </c>
      <c r="AE26">
        <f>Inputs!AE26</f>
        <v>2006</v>
      </c>
      <c r="AF26" t="str">
        <f>Inputs!AF26</f>
        <v>Based on restuarant</v>
      </c>
      <c r="AG26">
        <v>0</v>
      </c>
      <c r="AH26" t="str">
        <f>Inputs!AH26</f>
        <v>https://riisparkbeachbazaar.com/</v>
      </c>
      <c r="AI26" t="str">
        <f>Inputs!AI26</f>
        <v>Jacob Riis Bathhouse; renovation only partially complete; historic value; may be vendors there</v>
      </c>
      <c r="AJ26" t="str">
        <f>Inputs!AJ26</f>
        <v>Jacob Riis Beach</v>
      </c>
      <c r="AK26" t="str">
        <f t="shared" si="0"/>
        <v>Com</v>
      </c>
      <c r="AL26" t="str">
        <f t="shared" si="6"/>
        <v>COM8</v>
      </c>
      <c r="AM26">
        <f t="shared" si="1"/>
        <v>15</v>
      </c>
      <c r="AN26">
        <f t="shared" si="7"/>
        <v>12.464429564720001</v>
      </c>
      <c r="AO26">
        <f t="shared" si="2"/>
        <v>24</v>
      </c>
      <c r="AP26">
        <f ca="1">OFFSET(Coastal_DDF!$F$10,0,AO26,1,1)</f>
        <v>12</v>
      </c>
      <c r="AQ26">
        <f ca="1">OFFSET(Coastal_DDF!$F$10,0,AO26+1,1,1)</f>
        <v>13</v>
      </c>
      <c r="AR26">
        <f ca="1">OFFSET(Coastal_DDF!$F$10,AM26,AO26,1,1)</f>
        <v>30</v>
      </c>
      <c r="AS26">
        <f ca="1">OFFSET(Coastal_DDF!$F$10,AM26,AO26+1,1,1)</f>
        <v>34</v>
      </c>
      <c r="AT26">
        <f t="shared" ca="1" si="8"/>
        <v>4</v>
      </c>
      <c r="AU26">
        <f t="shared" ca="1" si="9"/>
        <v>31.857718258880006</v>
      </c>
      <c r="AV26">
        <f t="shared" ca="1" si="10"/>
        <v>577043.1623048305</v>
      </c>
      <c r="AW26">
        <f t="shared" ca="1" si="3"/>
        <v>746162.45069219253</v>
      </c>
      <c r="AX26">
        <f t="shared" si="11"/>
        <v>12.398812764720001</v>
      </c>
      <c r="AY26">
        <f t="shared" si="4"/>
        <v>24</v>
      </c>
      <c r="AZ26">
        <f ca="1">OFFSET(Coastal_DDF!$F$10,0,AY26,1,1)</f>
        <v>12</v>
      </c>
      <c r="BA26">
        <f ca="1">OFFSET(Coastal_DDF!$F$10,0,AY26+1,1,1)</f>
        <v>13</v>
      </c>
      <c r="BB26">
        <f ca="1">OFFSET(Coastal_DDF!$F$10,AM26,AY26,1,1)</f>
        <v>30</v>
      </c>
      <c r="BC26">
        <f ca="1">OFFSET(Coastal_DDF!$F$10,AM26,AY26+1,1,1)</f>
        <v>34</v>
      </c>
      <c r="BD26">
        <f t="shared" ca="1" si="12"/>
        <v>4</v>
      </c>
      <c r="BE26">
        <f t="shared" ca="1" si="13"/>
        <v>31.595251058880002</v>
      </c>
      <c r="BF26">
        <f t="shared" ca="1" si="14"/>
        <v>572289.05839008826</v>
      </c>
      <c r="BG26">
        <f t="shared" ca="1" si="5"/>
        <v>740015.01829961268</v>
      </c>
    </row>
    <row r="27" spans="1:59" x14ac:dyDescent="0.25">
      <c r="A27">
        <f>Inputs!A27</f>
        <v>100</v>
      </c>
      <c r="B27" t="str">
        <f>Inputs!B27</f>
        <v>NPS-1A</v>
      </c>
      <c r="C27">
        <f>Inputs!C27</f>
        <v>1</v>
      </c>
      <c r="D27" t="str">
        <f>Inputs!D27</f>
        <v>NY_NPS_1A_0020</v>
      </c>
      <c r="E27">
        <f>Inputs!E27</f>
        <v>0</v>
      </c>
      <c r="F27">
        <f>Inputs!F27</f>
        <v>0</v>
      </c>
      <c r="G27">
        <f>Inputs!G27</f>
        <v>2599.3282869999998</v>
      </c>
      <c r="H27">
        <f>Inputs!H27</f>
        <v>4.3878029999999999</v>
      </c>
      <c r="I27">
        <f>Inputs!I27</f>
        <v>1.0978030000000001</v>
      </c>
      <c r="J27">
        <f>Inputs!J27</f>
        <v>3.29</v>
      </c>
      <c r="K27">
        <f>Inputs!K27</f>
        <v>1.62</v>
      </c>
      <c r="L27" t="str">
        <f>Inputs!L27</f>
        <v>No</v>
      </c>
      <c r="M27">
        <f>Inputs!M27</f>
        <v>0</v>
      </c>
      <c r="N27">
        <f>Inputs!N27</f>
        <v>14.395679594519999</v>
      </c>
      <c r="O27">
        <f>Inputs!O27</f>
        <v>3.6017159945200001</v>
      </c>
      <c r="P27">
        <f>Inputs!P27</f>
        <v>10.7939636</v>
      </c>
      <c r="Q27">
        <f>Inputs!Q27</f>
        <v>27978.909748439299</v>
      </c>
      <c r="R27" t="str">
        <f>Inputs!R27</f>
        <v>remove - abandoned</v>
      </c>
      <c r="S27" t="str">
        <f>Inputs!S27</f>
        <v>16325; 227</v>
      </c>
      <c r="T27">
        <f>Inputs!T27</f>
        <v>0</v>
      </c>
      <c r="U27">
        <f>Inputs!U27</f>
        <v>0</v>
      </c>
      <c r="V27">
        <f>IF(Inputs!V27=0,2020,Inputs!V27)</f>
        <v>2020</v>
      </c>
      <c r="W27">
        <f>Inputs!W27</f>
        <v>0</v>
      </c>
      <c r="X27" t="str">
        <f>IF(Inputs!X27=0,"UNK",Inputs!X27)</f>
        <v>UNK</v>
      </c>
      <c r="Y27" t="str">
        <f>Inputs!Y27</f>
        <v>No</v>
      </c>
      <c r="Z27" t="str">
        <f>Inputs!Z27</f>
        <v>Slab</v>
      </c>
      <c r="AA27">
        <f>Inputs!AA27</f>
        <v>0</v>
      </c>
      <c r="AB27">
        <f>IF(Z27="Piers",MIN(2,Inputs!AB27),Inputs!AB27)</f>
        <v>0</v>
      </c>
      <c r="AC27">
        <f>Inputs!AC27</f>
        <v>1</v>
      </c>
      <c r="AD27">
        <f>Inputs!AD27</f>
        <v>0</v>
      </c>
      <c r="AE27">
        <f>Inputs!AE27</f>
        <v>0</v>
      </c>
      <c r="AF27">
        <f>Inputs!AF27</f>
        <v>0</v>
      </c>
      <c r="AG27">
        <v>0</v>
      </c>
      <c r="AH27" t="str">
        <f>Inputs!AH27</f>
        <v>https://en.wikipedia.org/wiki/Neponsit_Beach_Hospital</v>
      </c>
      <c r="AI27" t="str">
        <f>Inputs!AI27</f>
        <v>abandoned/unused hospital; assumed to have no economic impact and no loss from storm damage</v>
      </c>
      <c r="AJ27" t="str">
        <f>Inputs!AJ27</f>
        <v>NEW YORK CITY HEALTH AND HOSPITALS CORPORATION; adjacent to Jacob Riis Beach</v>
      </c>
      <c r="AK27" t="str">
        <f t="shared" si="0"/>
        <v>Unknown</v>
      </c>
      <c r="AL27" t="str">
        <f t="shared" si="6"/>
        <v>UNK</v>
      </c>
      <c r="AM27">
        <f t="shared" si="1"/>
        <v>30</v>
      </c>
      <c r="AN27">
        <f t="shared" si="7"/>
        <v>13.395679594519999</v>
      </c>
      <c r="AO27">
        <f t="shared" si="2"/>
        <v>25</v>
      </c>
      <c r="AP27">
        <f ca="1">OFFSET(Coastal_DDF!$F$10,0,AO27,1,1)</f>
        <v>13</v>
      </c>
      <c r="AQ27">
        <f ca="1">OFFSET(Coastal_DDF!$F$10,0,AO27+1,1,1)</f>
        <v>14</v>
      </c>
      <c r="AR27">
        <f ca="1">OFFSET(Coastal_DDF!$F$10,AM27,AO27,1,1)</f>
        <v>48</v>
      </c>
      <c r="AS27">
        <f ca="1">OFFSET(Coastal_DDF!$F$10,AM27,AO27+1,1,1)</f>
        <v>49</v>
      </c>
      <c r="AT27">
        <f t="shared" ca="1" si="8"/>
        <v>1</v>
      </c>
      <c r="AU27">
        <f t="shared" ca="1" si="9"/>
        <v>48.395679594519997</v>
      </c>
      <c r="AV27">
        <f t="shared" ca="1" si="10"/>
        <v>0</v>
      </c>
      <c r="AW27">
        <f t="shared" ca="1" si="3"/>
        <v>0</v>
      </c>
      <c r="AX27">
        <f t="shared" si="11"/>
        <v>2.6017159945200001</v>
      </c>
      <c r="AY27">
        <f t="shared" si="4"/>
        <v>14</v>
      </c>
      <c r="AZ27">
        <f ca="1">OFFSET(Coastal_DDF!$F$10,0,AY27,1,1)</f>
        <v>2</v>
      </c>
      <c r="BA27">
        <f ca="1">OFFSET(Coastal_DDF!$F$10,0,AY27+1,1,1)</f>
        <v>3</v>
      </c>
      <c r="BB27">
        <f ca="1">OFFSET(Coastal_DDF!$F$10,AM27,AY27,1,1)</f>
        <v>15</v>
      </c>
      <c r="BC27">
        <f ca="1">OFFSET(Coastal_DDF!$F$10,AM27,AY27+1,1,1)</f>
        <v>20</v>
      </c>
      <c r="BD27">
        <f t="shared" ca="1" si="12"/>
        <v>5</v>
      </c>
      <c r="BE27">
        <f t="shared" ca="1" si="13"/>
        <v>18.0085799726</v>
      </c>
      <c r="BF27">
        <f t="shared" ca="1" si="14"/>
        <v>0</v>
      </c>
      <c r="BG27">
        <f t="shared" ca="1" si="5"/>
        <v>0</v>
      </c>
    </row>
    <row r="28" spans="1:59" x14ac:dyDescent="0.25">
      <c r="A28">
        <f>Inputs!A28</f>
        <v>100</v>
      </c>
      <c r="B28" t="str">
        <f>Inputs!B28</f>
        <v>NPS-1A</v>
      </c>
      <c r="C28">
        <f>Inputs!C28</f>
        <v>1</v>
      </c>
      <c r="D28" t="str">
        <f>Inputs!D28</f>
        <v>NY_NPS_1A_0021</v>
      </c>
      <c r="E28">
        <f>Inputs!E28</f>
        <v>0</v>
      </c>
      <c r="F28">
        <f>Inputs!F28</f>
        <v>0</v>
      </c>
      <c r="G28">
        <f>Inputs!G28</f>
        <v>167.28158300000001</v>
      </c>
      <c r="H28">
        <f>Inputs!H28</f>
        <v>3.4765160000000002</v>
      </c>
      <c r="I28">
        <f>Inputs!I28</f>
        <v>0.20651600000000001</v>
      </c>
      <c r="J28">
        <f>Inputs!J28</f>
        <v>3.27</v>
      </c>
      <c r="K28">
        <f>Inputs!K28</f>
        <v>4.9000000000000004</v>
      </c>
      <c r="L28" t="str">
        <f>Inputs!L28</f>
        <v>No</v>
      </c>
      <c r="M28">
        <f>Inputs!M28</f>
        <v>0</v>
      </c>
      <c r="N28">
        <f>Inputs!N28</f>
        <v>11.40589275344</v>
      </c>
      <c r="O28">
        <f>Inputs!O28</f>
        <v>0.67754595344000002</v>
      </c>
      <c r="P28">
        <f>Inputs!P28</f>
        <v>10.728346800000001</v>
      </c>
      <c r="Q28">
        <f>Inputs!Q28</f>
        <v>1800.6022312537</v>
      </c>
      <c r="R28" t="str">
        <f>Inputs!R28</f>
        <v>New York, Low Estimate: https://ccorpinsights.com/costs-per-square-foot/</v>
      </c>
      <c r="S28" t="str">
        <f>Inputs!S28</f>
        <v>16330; 60</v>
      </c>
      <c r="T28">
        <f>Inputs!T28</f>
        <v>0</v>
      </c>
      <c r="U28">
        <f>Inputs!U28</f>
        <v>324648.58229504211</v>
      </c>
      <c r="V28">
        <f>IF(Inputs!V28=0,2020,Inputs!V28)</f>
        <v>2006</v>
      </c>
      <c r="W28">
        <f>Inputs!W28</f>
        <v>1938</v>
      </c>
      <c r="X28" t="str">
        <f>IF(Inputs!X28=0,"UNK",Inputs!X28)</f>
        <v>RES1</v>
      </c>
      <c r="Y28" t="str">
        <f>Inputs!Y28</f>
        <v>No</v>
      </c>
      <c r="Z28" t="str">
        <f>Inputs!Z28</f>
        <v>Slab</v>
      </c>
      <c r="AA28">
        <f>Inputs!AA28</f>
        <v>3601.2044625074</v>
      </c>
      <c r="AB28">
        <f>IF(Z28="Piers",MIN(2,Inputs!AB28),Inputs!AB28)</f>
        <v>2</v>
      </c>
      <c r="AC28">
        <f>Inputs!AC28</f>
        <v>1</v>
      </c>
      <c r="AD28">
        <f>Inputs!AD28</f>
        <v>90.15</v>
      </c>
      <c r="AE28">
        <f>Inputs!AE28</f>
        <v>2006</v>
      </c>
      <c r="AF28">
        <f>Inputs!AF28</f>
        <v>0</v>
      </c>
      <c r="AG28">
        <f>Inputs!AG28</f>
        <v>2.82</v>
      </c>
      <c r="AH28" t="str">
        <f>Inputs!AH28</f>
        <v>https://www.esf.edu/cclp/documents/GATE_CLR_Fort_Tilden_062013.pdf</v>
      </c>
      <c r="AI28" t="str">
        <f>Inputs!AI28</f>
        <v>potentially private residence on Fort Tilden (Building 23) Residence</v>
      </c>
      <c r="AJ28" t="str">
        <f>Inputs!AJ28</f>
        <v>Fort Tilden</v>
      </c>
      <c r="AK28" t="str">
        <f t="shared" si="0"/>
        <v>Res</v>
      </c>
      <c r="AL28" t="str">
        <f t="shared" si="6"/>
        <v>RES1.2.Slab</v>
      </c>
      <c r="AM28">
        <f t="shared" si="1"/>
        <v>2</v>
      </c>
      <c r="AN28">
        <f t="shared" si="7"/>
        <v>10.40589275344</v>
      </c>
      <c r="AO28">
        <f t="shared" si="2"/>
        <v>22</v>
      </c>
      <c r="AP28">
        <f ca="1">OFFSET(Coastal_DDF!$F$10,0,AO28,1,1)</f>
        <v>10</v>
      </c>
      <c r="AQ28">
        <f ca="1">OFFSET(Coastal_DDF!$F$10,0,AO28+1,1,1)</f>
        <v>11</v>
      </c>
      <c r="AR28">
        <f ca="1">OFFSET(Coastal_DDF!$F$10,AM28,AO28,1,1)</f>
        <v>60</v>
      </c>
      <c r="AS28">
        <f ca="1">OFFSET(Coastal_DDF!$F$10,AM28,AO28+1,1,1)</f>
        <v>63.333333333333329</v>
      </c>
      <c r="AT28">
        <f t="shared" ca="1" si="8"/>
        <v>3.3333333333333286</v>
      </c>
      <c r="AU28">
        <f t="shared" ca="1" si="9"/>
        <v>61.3529758448</v>
      </c>
      <c r="AV28">
        <f t="shared" ca="1" si="10"/>
        <v>199181.56627596283</v>
      </c>
      <c r="AW28">
        <f t="shared" ca="1" si="3"/>
        <v>257557.51966898865</v>
      </c>
      <c r="AX28">
        <f t="shared" si="11"/>
        <v>-0.32245404655999998</v>
      </c>
      <c r="AY28">
        <f t="shared" si="4"/>
        <v>10</v>
      </c>
      <c r="AZ28">
        <f ca="1">OFFSET(Coastal_DDF!$F$10,0,AY28,1,1)</f>
        <v>-0.5</v>
      </c>
      <c r="BA28">
        <f ca="1">OFFSET(Coastal_DDF!$F$10,0,AY28+1,1,1)</f>
        <v>0</v>
      </c>
      <c r="BB28">
        <f ca="1">OFFSET(Coastal_DDF!$F$10,AM28,AY28,1,1)</f>
        <v>1</v>
      </c>
      <c r="BC28">
        <f ca="1">OFFSET(Coastal_DDF!$F$10,AM28,AY28+1,1,1)</f>
        <v>5</v>
      </c>
      <c r="BD28">
        <f t="shared" ca="1" si="12"/>
        <v>8</v>
      </c>
      <c r="BE28">
        <f t="shared" ca="1" si="13"/>
        <v>2.4203676275200001</v>
      </c>
      <c r="BF28">
        <f t="shared" ca="1" si="14"/>
        <v>7857.6891890718261</v>
      </c>
      <c r="BG28">
        <f t="shared" ca="1" si="5"/>
        <v>10160.613633609119</v>
      </c>
    </row>
    <row r="29" spans="1:59" x14ac:dyDescent="0.25">
      <c r="A29">
        <f>Inputs!A29</f>
        <v>100</v>
      </c>
      <c r="B29" t="str">
        <f>Inputs!B29</f>
        <v>NPS-1A</v>
      </c>
      <c r="C29">
        <f>Inputs!C29</f>
        <v>1</v>
      </c>
      <c r="D29" t="str">
        <f>Inputs!D29</f>
        <v>NY_NPS_1A_0023</v>
      </c>
      <c r="E29">
        <f>Inputs!E29</f>
        <v>0</v>
      </c>
      <c r="F29">
        <f>Inputs!F29</f>
        <v>0</v>
      </c>
      <c r="G29">
        <f>Inputs!G29</f>
        <v>86.247461999999999</v>
      </c>
      <c r="H29">
        <f>Inputs!H29</f>
        <v>3.6388929999999999</v>
      </c>
      <c r="I29">
        <f>Inputs!I29</f>
        <v>0.19889299999999999</v>
      </c>
      <c r="J29">
        <f>Inputs!J29</f>
        <v>3.44</v>
      </c>
      <c r="K29">
        <f>Inputs!K29</f>
        <v>4.9000000000000004</v>
      </c>
      <c r="L29" t="str">
        <f>Inputs!L29</f>
        <v>No</v>
      </c>
      <c r="M29">
        <f>Inputs!M29</f>
        <v>0</v>
      </c>
      <c r="N29">
        <f>Inputs!N29</f>
        <v>11.93862571012</v>
      </c>
      <c r="O29">
        <f>Inputs!O29</f>
        <v>0.6525361101199999</v>
      </c>
      <c r="P29">
        <f>Inputs!P29</f>
        <v>11.2860896</v>
      </c>
      <c r="Q29">
        <f>Inputs!Q29</f>
        <v>928.35905622179996</v>
      </c>
      <c r="R29" t="str">
        <f>Inputs!R29</f>
        <v>RS Means - median warehouse (123)</v>
      </c>
      <c r="S29" t="str">
        <f>Inputs!S29</f>
        <v>16325; 1</v>
      </c>
      <c r="T29">
        <f>Inputs!T29</f>
        <v>0</v>
      </c>
      <c r="U29">
        <f>Inputs!U29</f>
        <v>99594.359551474699</v>
      </c>
      <c r="V29">
        <f>IF(Inputs!V29=0,2020,Inputs!V29)</f>
        <v>2006</v>
      </c>
      <c r="W29">
        <f>Inputs!W29</f>
        <v>0</v>
      </c>
      <c r="X29" t="str">
        <f>IF(Inputs!X29=0,"UNK",Inputs!X29)</f>
        <v>GOV1</v>
      </c>
      <c r="Y29" t="str">
        <f>Inputs!Y29</f>
        <v>No</v>
      </c>
      <c r="Z29" t="str">
        <f>Inputs!Z29</f>
        <v>Slab</v>
      </c>
      <c r="AA29">
        <f>Inputs!AA29</f>
        <v>928.35905622179996</v>
      </c>
      <c r="AB29">
        <f>IF(Z29="Piers",MIN(2,Inputs!AB29),Inputs!AB29)</f>
        <v>1</v>
      </c>
      <c r="AC29">
        <f>Inputs!AC29</f>
        <v>1</v>
      </c>
      <c r="AD29">
        <f>Inputs!AD29</f>
        <v>107.28</v>
      </c>
      <c r="AE29">
        <f>Inputs!AE29</f>
        <v>2006</v>
      </c>
      <c r="AF29" t="str">
        <f>Inputs!AF29</f>
        <v>based on small townhall</v>
      </c>
      <c r="AG29">
        <f>Inputs!AG29</f>
        <v>0</v>
      </c>
      <c r="AH29">
        <f>Inputs!AH29</f>
        <v>0</v>
      </c>
      <c r="AI29" t="str">
        <f>Inputs!AI29</f>
        <v>brick storage shed with corrugated metal pull down doors; entrance to parking lot</v>
      </c>
      <c r="AJ29" t="str">
        <f>Inputs!AJ29</f>
        <v>Jacob Riis Beach</v>
      </c>
      <c r="AK29" t="str">
        <f t="shared" si="0"/>
        <v>Pub</v>
      </c>
      <c r="AL29" t="str">
        <f t="shared" si="6"/>
        <v>GOV1</v>
      </c>
      <c r="AM29">
        <f t="shared" si="1"/>
        <v>8</v>
      </c>
      <c r="AN29">
        <f t="shared" si="7"/>
        <v>10.93862571012</v>
      </c>
      <c r="AO29">
        <f t="shared" si="2"/>
        <v>22</v>
      </c>
      <c r="AP29">
        <f ca="1">OFFSET(Coastal_DDF!$F$10,0,AO29,1,1)</f>
        <v>10</v>
      </c>
      <c r="AQ29">
        <f ca="1">OFFSET(Coastal_DDF!$F$10,0,AO29+1,1,1)</f>
        <v>11</v>
      </c>
      <c r="AR29">
        <f ca="1">OFFSET(Coastal_DDF!$F$10,AM29,AO29,1,1)</f>
        <v>26</v>
      </c>
      <c r="AS29">
        <f ca="1">OFFSET(Coastal_DDF!$F$10,AM29,AO29+1,1,1)</f>
        <v>31</v>
      </c>
      <c r="AT29">
        <f t="shared" ca="1" si="8"/>
        <v>5</v>
      </c>
      <c r="AU29">
        <f t="shared" ca="1" si="9"/>
        <v>30.693128550600001</v>
      </c>
      <c r="AV29">
        <f t="shared" ca="1" si="10"/>
        <v>30568.624806280899</v>
      </c>
      <c r="AW29">
        <f t="shared" ca="1" si="3"/>
        <v>39527.649731850513</v>
      </c>
      <c r="AX29">
        <f t="shared" si="11"/>
        <v>-0.3474638898800001</v>
      </c>
      <c r="AY29">
        <f t="shared" si="4"/>
        <v>10</v>
      </c>
      <c r="AZ29">
        <f ca="1">OFFSET(Coastal_DDF!$F$10,0,AY29,1,1)</f>
        <v>-0.5</v>
      </c>
      <c r="BA29">
        <f ca="1">OFFSET(Coastal_DDF!$F$10,0,AY29+1,1,1)</f>
        <v>0</v>
      </c>
      <c r="BB29">
        <f ca="1">OFFSET(Coastal_DDF!$F$10,AM29,AY29,1,1)</f>
        <v>0</v>
      </c>
      <c r="BC29">
        <f ca="1">OFFSET(Coastal_DDF!$F$10,AM29,AY29+1,1,1)</f>
        <v>0</v>
      </c>
      <c r="BD29">
        <f t="shared" ca="1" si="12"/>
        <v>0</v>
      </c>
      <c r="BE29">
        <f t="shared" ca="1" si="13"/>
        <v>0</v>
      </c>
      <c r="BF29">
        <f t="shared" ca="1" si="14"/>
        <v>0</v>
      </c>
      <c r="BG29">
        <f t="shared" ca="1" si="5"/>
        <v>0</v>
      </c>
    </row>
    <row r="30" spans="1:59" x14ac:dyDescent="0.25">
      <c r="A30">
        <f>Inputs!A30</f>
        <v>100</v>
      </c>
      <c r="B30" t="str">
        <f>Inputs!B30</f>
        <v>NPS-1A</v>
      </c>
      <c r="C30">
        <f>Inputs!C30</f>
        <v>1</v>
      </c>
      <c r="D30" t="str">
        <f>Inputs!D30</f>
        <v>NY_NPS_1A_0026</v>
      </c>
      <c r="E30">
        <f>Inputs!E30</f>
        <v>0</v>
      </c>
      <c r="F30">
        <f>Inputs!F30</f>
        <v>0</v>
      </c>
      <c r="G30">
        <f>Inputs!G30</f>
        <v>1065.6370549999999</v>
      </c>
      <c r="H30">
        <f>Inputs!H30</f>
        <v>3.922215</v>
      </c>
      <c r="I30">
        <f>Inputs!I30</f>
        <v>0.46221499999999999</v>
      </c>
      <c r="J30">
        <f>Inputs!J30</f>
        <v>3.46</v>
      </c>
      <c r="K30">
        <f>Inputs!K30</f>
        <v>1.62</v>
      </c>
      <c r="L30" t="str">
        <f>Inputs!L30</f>
        <v>No</v>
      </c>
      <c r="M30">
        <f>Inputs!M30</f>
        <v>0</v>
      </c>
      <c r="N30">
        <f>Inputs!N30</f>
        <v>12.8681598606</v>
      </c>
      <c r="O30">
        <f>Inputs!O30</f>
        <v>1.5164534606</v>
      </c>
      <c r="P30">
        <f>Inputs!P30</f>
        <v>11.351706399999999</v>
      </c>
      <c r="Q30">
        <f>Inputs!Q30</f>
        <v>11470.410696314499</v>
      </c>
      <c r="R30" t="str">
        <f>Inputs!R30</f>
        <v>RS Means - median mixed use (212)</v>
      </c>
      <c r="S30" t="str">
        <f>Inputs!S30</f>
        <v>16325; 1</v>
      </c>
      <c r="T30">
        <f>Inputs!T30</f>
        <v>0</v>
      </c>
      <c r="U30">
        <f>Inputs!U30</f>
        <v>1230545.6595006194</v>
      </c>
      <c r="V30">
        <f>IF(Inputs!V30=0,2020,Inputs!V30)</f>
        <v>2006</v>
      </c>
      <c r="W30">
        <f>Inputs!W30</f>
        <v>0</v>
      </c>
      <c r="X30" t="str">
        <f>IF(Inputs!X30=0,"UNK",Inputs!X30)</f>
        <v>GOV1</v>
      </c>
      <c r="Y30" t="str">
        <f>Inputs!Y30</f>
        <v>Yes</v>
      </c>
      <c r="Z30" t="str">
        <f>Inputs!Z30</f>
        <v>Slab</v>
      </c>
      <c r="AA30">
        <f>Inputs!AA30</f>
        <v>11470.410696314499</v>
      </c>
      <c r="AB30">
        <f>IF(Z30="Piers",MIN(2,Inputs!AB30),Inputs!AB30)</f>
        <v>1</v>
      </c>
      <c r="AC30">
        <f>Inputs!AC30</f>
        <v>1</v>
      </c>
      <c r="AD30">
        <f>Inputs!AD30</f>
        <v>107.28</v>
      </c>
      <c r="AE30">
        <f>Inputs!AE30</f>
        <v>2006</v>
      </c>
      <c r="AF30" t="str">
        <f>Inputs!AF30</f>
        <v>based on small townhall</v>
      </c>
      <c r="AG30">
        <f>Inputs!AG30</f>
        <v>0</v>
      </c>
      <c r="AH30" t="str">
        <f>Inputs!AH30</f>
        <v>https://camprockaway.com/</v>
      </c>
      <c r="AI30" t="str">
        <f>Inputs!AI30</f>
        <v>Camp Rockaway (vendor at Jacob Riis)</v>
      </c>
      <c r="AJ30" t="str">
        <f>Inputs!AJ30</f>
        <v>Jacob Riis Beach</v>
      </c>
      <c r="AK30" t="str">
        <f t="shared" si="0"/>
        <v>Pub</v>
      </c>
      <c r="AL30" t="str">
        <f t="shared" si="6"/>
        <v>GOV1</v>
      </c>
      <c r="AM30">
        <f t="shared" si="1"/>
        <v>8</v>
      </c>
      <c r="AN30">
        <f t="shared" si="7"/>
        <v>11.8681598606</v>
      </c>
      <c r="AO30">
        <f t="shared" si="2"/>
        <v>23</v>
      </c>
      <c r="AP30">
        <f ca="1">OFFSET(Coastal_DDF!$F$10,0,AO30,1,1)</f>
        <v>11</v>
      </c>
      <c r="AQ30">
        <f ca="1">OFFSET(Coastal_DDF!$F$10,0,AO30+1,1,1)</f>
        <v>12</v>
      </c>
      <c r="AR30">
        <f ca="1">OFFSET(Coastal_DDF!$F$10,AM30,AO30,1,1)</f>
        <v>31</v>
      </c>
      <c r="AS30">
        <f ca="1">OFFSET(Coastal_DDF!$F$10,AM30,AO30+1,1,1)</f>
        <v>37</v>
      </c>
      <c r="AT30">
        <f t="shared" ca="1" si="8"/>
        <v>6</v>
      </c>
      <c r="AU30">
        <f t="shared" ca="1" si="9"/>
        <v>36.208959163599999</v>
      </c>
      <c r="AV30">
        <f t="shared" ca="1" si="10"/>
        <v>445567.77533803158</v>
      </c>
      <c r="AW30">
        <f t="shared" ca="1" si="3"/>
        <v>576154.37616097159</v>
      </c>
      <c r="AX30">
        <f t="shared" si="11"/>
        <v>0.51645346059999997</v>
      </c>
      <c r="AY30">
        <f t="shared" si="4"/>
        <v>12</v>
      </c>
      <c r="AZ30">
        <f ca="1">OFFSET(Coastal_DDF!$F$10,0,AY30,1,1)</f>
        <v>0.5</v>
      </c>
      <c r="BA30">
        <f ca="1">OFFSET(Coastal_DDF!$F$10,0,AY30+1,1,1)</f>
        <v>1</v>
      </c>
      <c r="BB30">
        <f ca="1">OFFSET(Coastal_DDF!$F$10,AM30,AY30,1,1)</f>
        <v>2.5</v>
      </c>
      <c r="BC30">
        <f ca="1">OFFSET(Coastal_DDF!$F$10,AM30,AY30+1,1,1)</f>
        <v>5</v>
      </c>
      <c r="BD30">
        <f t="shared" ca="1" si="12"/>
        <v>5</v>
      </c>
      <c r="BE30">
        <f t="shared" ca="1" si="13"/>
        <v>2.5822673030000001</v>
      </c>
      <c r="BF30">
        <f t="shared" ca="1" si="14"/>
        <v>31775.978213770206</v>
      </c>
      <c r="BG30">
        <f t="shared" ca="1" si="5"/>
        <v>41088.853184613872</v>
      </c>
    </row>
    <row r="31" spans="1:59" x14ac:dyDescent="0.25">
      <c r="A31">
        <f>Inputs!A31</f>
        <v>100</v>
      </c>
      <c r="B31" t="str">
        <f>Inputs!B31</f>
        <v>NPS-1A</v>
      </c>
      <c r="C31">
        <f>Inputs!C31</f>
        <v>1</v>
      </c>
      <c r="D31" t="str">
        <f>Inputs!D31</f>
        <v>NY_NPS_1A_0027</v>
      </c>
      <c r="E31">
        <f>Inputs!E31</f>
        <v>0</v>
      </c>
      <c r="F31">
        <f>Inputs!F31</f>
        <v>0</v>
      </c>
      <c r="G31">
        <f>Inputs!G31</f>
        <v>255.32940099999999</v>
      </c>
      <c r="H31">
        <f>Inputs!H31</f>
        <v>2.9234650000000002</v>
      </c>
      <c r="I31">
        <f>Inputs!I31</f>
        <v>0.36503999999999998</v>
      </c>
      <c r="J31">
        <f>Inputs!J31</f>
        <v>2.558424</v>
      </c>
      <c r="K31">
        <f>Inputs!K31</f>
        <v>1.62</v>
      </c>
      <c r="L31" t="str">
        <f>Inputs!L31</f>
        <v>No</v>
      </c>
      <c r="M31">
        <f>Inputs!M31</f>
        <v>0</v>
      </c>
      <c r="N31">
        <f>Inputs!N31</f>
        <v>9.5914209106000001</v>
      </c>
      <c r="O31">
        <f>Inputs!O31</f>
        <v>1.1976378336</v>
      </c>
      <c r="P31">
        <f>Inputs!P31</f>
        <v>8.3937797961600005</v>
      </c>
      <c r="Q31">
        <f>Inputs!Q31</f>
        <v>2748.3401394238999</v>
      </c>
      <c r="R31" t="str">
        <f>Inputs!R31</f>
        <v>Zillow</v>
      </c>
      <c r="S31" t="str">
        <f>Inputs!S31</f>
        <v>16323; 20</v>
      </c>
      <c r="T31">
        <f>Inputs!T31</f>
        <v>96660</v>
      </c>
      <c r="U31">
        <f>Inputs!U31</f>
        <v>495525.72713812918</v>
      </c>
      <c r="V31">
        <f>IF(Inputs!V31=0,2020,Inputs!V31)</f>
        <v>2006</v>
      </c>
      <c r="W31">
        <f>Inputs!W31</f>
        <v>1940</v>
      </c>
      <c r="X31" t="str">
        <f>IF(Inputs!X31=0,"UNK",Inputs!X31)</f>
        <v>RES1</v>
      </c>
      <c r="Y31" t="str">
        <f>Inputs!Y31</f>
        <v>No</v>
      </c>
      <c r="Z31" t="str">
        <f>Inputs!Z31</f>
        <v>Basement</v>
      </c>
      <c r="AA31">
        <f>Inputs!AA31</f>
        <v>2988</v>
      </c>
      <c r="AB31">
        <f>IF(Z31="Piers",MIN(2,Inputs!AB31),Inputs!AB31)</f>
        <v>2</v>
      </c>
      <c r="AC31">
        <f>Inputs!AC31</f>
        <v>4</v>
      </c>
      <c r="AD31">
        <f>Inputs!AD31</f>
        <v>90.15</v>
      </c>
      <c r="AE31">
        <f>Inputs!AE31</f>
        <v>2006</v>
      </c>
      <c r="AF31">
        <f>Inputs!AF31</f>
        <v>0</v>
      </c>
      <c r="AG31">
        <f>Inputs!AG31</f>
        <v>2.82</v>
      </c>
      <c r="AH31" t="str">
        <f>Inputs!AH31</f>
        <v>https://www.zillow.com/homedetails/159-Beach-149th-St-Far-Rockaway-NY-11694/32228993_zpid/</v>
      </c>
      <c r="AI31" t="str">
        <f>Inputs!AI31</f>
        <v>main structure</v>
      </c>
      <c r="AJ31" t="str">
        <f>Inputs!AJ31</f>
        <v>159 BEACH 149 STREET NEPONSIT NY</v>
      </c>
      <c r="AK31" t="str">
        <f t="shared" si="0"/>
        <v>Res</v>
      </c>
      <c r="AL31" t="str">
        <f t="shared" si="6"/>
        <v>RES1.2.Basement</v>
      </c>
      <c r="AM31">
        <f t="shared" si="1"/>
        <v>4</v>
      </c>
      <c r="AN31">
        <f t="shared" si="7"/>
        <v>5.5914209106000001</v>
      </c>
      <c r="AO31">
        <f t="shared" si="2"/>
        <v>17</v>
      </c>
      <c r="AP31">
        <f ca="1">OFFSET(Coastal_DDF!$F$10,0,AO31,1,1)</f>
        <v>5</v>
      </c>
      <c r="AQ31">
        <f ca="1">OFFSET(Coastal_DDF!$F$10,0,AO31+1,1,1)</f>
        <v>6</v>
      </c>
      <c r="AR31">
        <f ca="1">OFFSET(Coastal_DDF!$F$10,AM31,AO31,1,1)</f>
        <v>50</v>
      </c>
      <c r="AS31">
        <f ca="1">OFFSET(Coastal_DDF!$F$10,AM31,AO31+1,1,1)</f>
        <v>55</v>
      </c>
      <c r="AT31">
        <f t="shared" ca="1" si="8"/>
        <v>5</v>
      </c>
      <c r="AU31">
        <f t="shared" ca="1" si="9"/>
        <v>52.957104553000001</v>
      </c>
      <c r="AV31">
        <f t="shared" ca="1" si="10"/>
        <v>262416.07740755257</v>
      </c>
      <c r="AW31">
        <f t="shared" ca="1" si="3"/>
        <v>339324.74416188471</v>
      </c>
      <c r="AX31">
        <f t="shared" si="11"/>
        <v>-2.8023621664</v>
      </c>
      <c r="AY31">
        <f t="shared" si="4"/>
        <v>7</v>
      </c>
      <c r="AZ31">
        <f ca="1">OFFSET(Coastal_DDF!$F$10,0,AY31,1,1)</f>
        <v>-3</v>
      </c>
      <c r="BA31">
        <f ca="1">OFFSET(Coastal_DDF!$F$10,0,AY31+1,1,1)</f>
        <v>-2</v>
      </c>
      <c r="BB31">
        <f ca="1">OFFSET(Coastal_DDF!$F$10,AM31,AY31,1,1)</f>
        <v>7</v>
      </c>
      <c r="BC31">
        <f ca="1">OFFSET(Coastal_DDF!$F$10,AM31,AY31+1,1,1)</f>
        <v>8.5</v>
      </c>
      <c r="BD31">
        <f t="shared" ca="1" si="12"/>
        <v>1.5</v>
      </c>
      <c r="BE31">
        <f t="shared" ca="1" si="13"/>
        <v>7.2964567504</v>
      </c>
      <c r="BF31">
        <f t="shared" ca="1" si="14"/>
        <v>36155.820367738714</v>
      </c>
      <c r="BG31">
        <f t="shared" ca="1" si="5"/>
        <v>46752.335517888125</v>
      </c>
    </row>
    <row r="32" spans="1:59" x14ac:dyDescent="0.25">
      <c r="A32">
        <f>Inputs!A32</f>
        <v>100</v>
      </c>
      <c r="B32" t="str">
        <f>Inputs!B32</f>
        <v>NPS-1A</v>
      </c>
      <c r="C32">
        <f>Inputs!C32</f>
        <v>1</v>
      </c>
      <c r="D32" t="str">
        <f>Inputs!D32</f>
        <v>NY_NPS_1A_0028</v>
      </c>
      <c r="E32">
        <f>Inputs!E32</f>
        <v>0</v>
      </c>
      <c r="F32">
        <f>Inputs!F32</f>
        <v>0</v>
      </c>
      <c r="G32">
        <f>Inputs!G32</f>
        <v>183.48451399999999</v>
      </c>
      <c r="H32">
        <f>Inputs!H32</f>
        <v>3.9740000000000002</v>
      </c>
      <c r="I32">
        <f>Inputs!I32</f>
        <v>0.70399999999999996</v>
      </c>
      <c r="J32">
        <f>Inputs!J32</f>
        <v>3.27</v>
      </c>
      <c r="K32">
        <f>Inputs!K32</f>
        <v>4.9000000000000004</v>
      </c>
      <c r="L32" t="str">
        <f>Inputs!L32</f>
        <v>No</v>
      </c>
      <c r="M32">
        <f>Inputs!M32</f>
        <v>0</v>
      </c>
      <c r="N32">
        <f>Inputs!N32</f>
        <v>13.03805816</v>
      </c>
      <c r="O32">
        <f>Inputs!O32</f>
        <v>2.3097113599999997</v>
      </c>
      <c r="P32">
        <f>Inputs!P32</f>
        <v>10.728346800000001</v>
      </c>
      <c r="Q32">
        <f>Inputs!Q32</f>
        <v>1975.0089602445998</v>
      </c>
      <c r="R32" t="str">
        <f>Inputs!R32</f>
        <v>New York, Low Estimate: https://ccorpinsights.com/costs-per-square-foot/</v>
      </c>
      <c r="S32" t="str">
        <f>Inputs!S32</f>
        <v>16330; 60</v>
      </c>
      <c r="T32">
        <f>Inputs!T32</f>
        <v>0</v>
      </c>
      <c r="U32">
        <f>Inputs!U32</f>
        <v>534141.17329815205</v>
      </c>
      <c r="V32">
        <f>IF(Inputs!V32=0,2020,Inputs!V32)</f>
        <v>2006</v>
      </c>
      <c r="W32">
        <f>Inputs!W32</f>
        <v>1938</v>
      </c>
      <c r="X32" t="str">
        <f>IF(Inputs!X32=0,"UNK",Inputs!X32)</f>
        <v>RES1</v>
      </c>
      <c r="Y32" t="str">
        <f>Inputs!Y32</f>
        <v>No</v>
      </c>
      <c r="Z32" t="str">
        <f>Inputs!Z32</f>
        <v>Basement</v>
      </c>
      <c r="AA32">
        <f>Inputs!AA32</f>
        <v>5925.0268807337998</v>
      </c>
      <c r="AB32">
        <f>IF(Z32="Piers",MIN(2,Inputs!AB32),Inputs!AB32)</f>
        <v>3</v>
      </c>
      <c r="AC32">
        <f>Inputs!AC32</f>
        <v>4</v>
      </c>
      <c r="AD32">
        <f>Inputs!AD32</f>
        <v>90.15</v>
      </c>
      <c r="AE32">
        <f>Inputs!AE32</f>
        <v>2006</v>
      </c>
      <c r="AF32">
        <f>Inputs!AF32</f>
        <v>0</v>
      </c>
      <c r="AG32">
        <f>Inputs!AG32</f>
        <v>2.82</v>
      </c>
      <c r="AH32" t="str">
        <f>Inputs!AH32</f>
        <v>https://www.esf.edu/cclp/documents/GATE_CLR_Fort_Tilden_062013.pdf; https://www.nps.gov/parkhistory/online_books/gate/tilden_hsr.pdf</v>
      </c>
      <c r="AI32" t="str">
        <f>Inputs!AI32</f>
        <v>potentially private residence on Fort Tilden (Building 22) Residence. No. 22 is a two-story Colonial Revival-style brick building with a onestory attached garage and a two-story sleeping porch</v>
      </c>
      <c r="AJ32" t="str">
        <f>Inputs!AJ32</f>
        <v>Fort Tilden</v>
      </c>
      <c r="AK32" t="str">
        <f t="shared" si="0"/>
        <v>Res</v>
      </c>
      <c r="AL32" t="str">
        <f t="shared" si="6"/>
        <v>RES1.3.Basement</v>
      </c>
      <c r="AM32">
        <f t="shared" si="1"/>
        <v>28</v>
      </c>
      <c r="AN32">
        <f t="shared" si="7"/>
        <v>9.0380581600000003</v>
      </c>
      <c r="AO32">
        <f t="shared" si="2"/>
        <v>21</v>
      </c>
      <c r="AP32">
        <f ca="1">OFFSET(Coastal_DDF!$F$10,0,AO32,1,1)</f>
        <v>9</v>
      </c>
      <c r="AQ32">
        <f ca="1">OFFSET(Coastal_DDF!$F$10,0,AO32+1,1,1)</f>
        <v>10</v>
      </c>
      <c r="AR32">
        <f ca="1">OFFSET(Coastal_DDF!$F$10,AM32,AO32,1,1)</f>
        <v>35</v>
      </c>
      <c r="AS32">
        <f ca="1">OFFSET(Coastal_DDF!$F$10,AM32,AO32+1,1,1)</f>
        <v>38</v>
      </c>
      <c r="AT32">
        <f t="shared" ca="1" si="8"/>
        <v>3</v>
      </c>
      <c r="AU32">
        <f t="shared" ca="1" si="9"/>
        <v>35.114174480000003</v>
      </c>
      <c r="AV32">
        <f t="shared" ca="1" si="10"/>
        <v>187559.26356143231</v>
      </c>
      <c r="AW32">
        <f t="shared" ca="1" si="3"/>
        <v>242528.96298091987</v>
      </c>
      <c r="AX32">
        <f t="shared" si="11"/>
        <v>-1.6902886400000003</v>
      </c>
      <c r="AY32">
        <f t="shared" si="4"/>
        <v>8</v>
      </c>
      <c r="AZ32">
        <f ca="1">OFFSET(Coastal_DDF!$F$10,0,AY32,1,1)</f>
        <v>-2</v>
      </c>
      <c r="BA32">
        <f ca="1">OFFSET(Coastal_DDF!$F$10,0,AY32+1,1,1)</f>
        <v>-1</v>
      </c>
      <c r="BB32">
        <f ca="1">OFFSET(Coastal_DDF!$F$10,AM32,AY32,1,1)</f>
        <v>0</v>
      </c>
      <c r="BC32">
        <f ca="1">OFFSET(Coastal_DDF!$F$10,AM32,AY32+1,1,1)</f>
        <v>0</v>
      </c>
      <c r="BD32">
        <f t="shared" ca="1" si="12"/>
        <v>0</v>
      </c>
      <c r="BE32">
        <f t="shared" ca="1" si="13"/>
        <v>0</v>
      </c>
      <c r="BF32">
        <f t="shared" ca="1" si="14"/>
        <v>0</v>
      </c>
      <c r="BG32">
        <f t="shared" ca="1" si="5"/>
        <v>0</v>
      </c>
    </row>
    <row r="33" spans="1:59" x14ac:dyDescent="0.25">
      <c r="A33">
        <f>Inputs!A33</f>
        <v>100</v>
      </c>
      <c r="B33" t="str">
        <f>Inputs!B33</f>
        <v>NPS-1A</v>
      </c>
      <c r="C33">
        <f>Inputs!C33</f>
        <v>1</v>
      </c>
      <c r="D33" t="str">
        <f>Inputs!D33</f>
        <v>NY_NPS_1A_0030</v>
      </c>
      <c r="E33">
        <f>Inputs!E33</f>
        <v>0</v>
      </c>
      <c r="F33">
        <f>Inputs!F33</f>
        <v>0</v>
      </c>
      <c r="G33">
        <f>Inputs!G33</f>
        <v>478.52189700000002</v>
      </c>
      <c r="H33">
        <f>Inputs!H33</f>
        <v>3.8940000000000001</v>
      </c>
      <c r="I33">
        <f>Inputs!I33</f>
        <v>3.8839999999999999</v>
      </c>
      <c r="J33">
        <f>Inputs!J33</f>
        <v>0.01</v>
      </c>
      <c r="K33">
        <f>Inputs!K33</f>
        <v>1.62</v>
      </c>
      <c r="L33" t="str">
        <f>Inputs!L33</f>
        <v>No</v>
      </c>
      <c r="M33">
        <f>Inputs!M33</f>
        <v>0</v>
      </c>
      <c r="N33">
        <f>Inputs!N33</f>
        <v>12.775590960000001</v>
      </c>
      <c r="O33">
        <f>Inputs!O33</f>
        <v>12.74278256</v>
      </c>
      <c r="P33">
        <f>Inputs!P33</f>
        <v>3.2808400000000001E-2</v>
      </c>
      <c r="Q33">
        <f>Inputs!Q33</f>
        <v>5150.7618471183005</v>
      </c>
      <c r="R33" t="str">
        <f>Inputs!R33</f>
        <v>RS Means - median mixed use (212)</v>
      </c>
      <c r="S33" t="str">
        <f>Inputs!S33</f>
        <v>16325; 1</v>
      </c>
      <c r="T33">
        <f>Inputs!T33</f>
        <v>0</v>
      </c>
      <c r="U33">
        <f>Inputs!U33</f>
        <v>878256.40255214134</v>
      </c>
      <c r="V33">
        <f>IF(Inputs!V33=0,2020,Inputs!V33)</f>
        <v>2006</v>
      </c>
      <c r="W33">
        <f>Inputs!W33</f>
        <v>0</v>
      </c>
      <c r="X33" t="str">
        <f>IF(Inputs!X33=0,"UNK",Inputs!X33)</f>
        <v>COM8</v>
      </c>
      <c r="Y33" t="str">
        <f>Inputs!Y33</f>
        <v>Yes</v>
      </c>
      <c r="Z33" t="str">
        <f>Inputs!Z33</f>
        <v>Slab</v>
      </c>
      <c r="AA33">
        <f>Inputs!AA33</f>
        <v>5150.7618471183005</v>
      </c>
      <c r="AB33">
        <f>IF(Z33="Piers",MIN(2,Inputs!AB33),Inputs!AB33)</f>
        <v>1</v>
      </c>
      <c r="AC33">
        <f>Inputs!AC33</f>
        <v>1</v>
      </c>
      <c r="AD33">
        <f>Inputs!AD33</f>
        <v>170.51</v>
      </c>
      <c r="AE33">
        <f>Inputs!AE33</f>
        <v>2006</v>
      </c>
      <c r="AF33" t="str">
        <f>Inputs!AF33</f>
        <v>Based on restuarant</v>
      </c>
      <c r="AG33">
        <f>Inputs!AG33</f>
        <v>0</v>
      </c>
      <c r="AH33" t="str">
        <f>Inputs!AH33</f>
        <v>https://riisparkbeachbazaar.com/</v>
      </c>
      <c r="AI33" t="str">
        <f>Inputs!AI33</f>
        <v>Jacob Riis Bathhouse; renovation only partially complete; historic value; may be vendors there</v>
      </c>
      <c r="AJ33" t="str">
        <f>Inputs!AJ33</f>
        <v>Jacob Riis Beach</v>
      </c>
      <c r="AK33" t="str">
        <f t="shared" si="0"/>
        <v>Com</v>
      </c>
      <c r="AL33" t="str">
        <f t="shared" si="6"/>
        <v>COM8</v>
      </c>
      <c r="AM33">
        <f t="shared" si="1"/>
        <v>15</v>
      </c>
      <c r="AN33">
        <f t="shared" si="7"/>
        <v>11.775590960000001</v>
      </c>
      <c r="AO33">
        <f t="shared" si="2"/>
        <v>23</v>
      </c>
      <c r="AP33">
        <f ca="1">OFFSET(Coastal_DDF!$F$10,0,AO33,1,1)</f>
        <v>11</v>
      </c>
      <c r="AQ33">
        <f ca="1">OFFSET(Coastal_DDF!$F$10,0,AO33+1,1,1)</f>
        <v>12</v>
      </c>
      <c r="AR33">
        <f ca="1">OFFSET(Coastal_DDF!$F$10,AM33,AO33,1,1)</f>
        <v>27</v>
      </c>
      <c r="AS33">
        <f ca="1">OFFSET(Coastal_DDF!$F$10,AM33,AO33+1,1,1)</f>
        <v>30</v>
      </c>
      <c r="AT33">
        <f t="shared" ca="1" si="8"/>
        <v>3</v>
      </c>
      <c r="AU33">
        <f t="shared" ca="1" si="9"/>
        <v>29.32677288</v>
      </c>
      <c r="AV33">
        <f t="shared" ca="1" si="10"/>
        <v>257564.26048052503</v>
      </c>
      <c r="AW33">
        <f t="shared" ca="1" si="3"/>
        <v>333050.96111570712</v>
      </c>
      <c r="AX33">
        <f t="shared" si="11"/>
        <v>11.74278256</v>
      </c>
      <c r="AY33">
        <f t="shared" si="4"/>
        <v>23</v>
      </c>
      <c r="AZ33">
        <f ca="1">OFFSET(Coastal_DDF!$F$10,0,AY33,1,1)</f>
        <v>11</v>
      </c>
      <c r="BA33">
        <f ca="1">OFFSET(Coastal_DDF!$F$10,0,AY33+1,1,1)</f>
        <v>12</v>
      </c>
      <c r="BB33">
        <f ca="1">OFFSET(Coastal_DDF!$F$10,AM33,AY33,1,1)</f>
        <v>27</v>
      </c>
      <c r="BC33">
        <f ca="1">OFFSET(Coastal_DDF!$F$10,AM33,AY33+1,1,1)</f>
        <v>30</v>
      </c>
      <c r="BD33">
        <f t="shared" ca="1" si="12"/>
        <v>3</v>
      </c>
      <c r="BE33">
        <f t="shared" ca="1" si="13"/>
        <v>29.228347679999999</v>
      </c>
      <c r="BF33">
        <f t="shared" ca="1" si="14"/>
        <v>256699.83485980026</v>
      </c>
      <c r="BG33">
        <f t="shared" ca="1" si="5"/>
        <v>331933.19041546207</v>
      </c>
    </row>
    <row r="34" spans="1:59" x14ac:dyDescent="0.25">
      <c r="A34">
        <f>Inputs!A34</f>
        <v>100</v>
      </c>
      <c r="B34" t="str">
        <f>Inputs!B34</f>
        <v>NPS-1A</v>
      </c>
      <c r="C34">
        <f>Inputs!C34</f>
        <v>1</v>
      </c>
      <c r="D34" t="str">
        <f>Inputs!D34</f>
        <v>NY_NPS_1A_0032</v>
      </c>
      <c r="E34">
        <f>Inputs!E34</f>
        <v>0</v>
      </c>
      <c r="F34">
        <f>Inputs!F34</f>
        <v>0</v>
      </c>
      <c r="G34">
        <f>Inputs!G34</f>
        <v>77.087877000000006</v>
      </c>
      <c r="H34">
        <f>Inputs!H34</f>
        <v>3.9585509999999999</v>
      </c>
      <c r="I34">
        <f>Inputs!I34</f>
        <v>0.68855100000000002</v>
      </c>
      <c r="J34">
        <f>Inputs!J34</f>
        <v>3.27</v>
      </c>
      <c r="K34">
        <f>Inputs!K34</f>
        <v>4.9000000000000004</v>
      </c>
      <c r="L34" t="str">
        <f>Inputs!L34</f>
        <v>No</v>
      </c>
      <c r="M34">
        <f>Inputs!M34</f>
        <v>0</v>
      </c>
      <c r="N34">
        <f>Inputs!N34</f>
        <v>12.98737246284</v>
      </c>
      <c r="O34">
        <f>Inputs!O34</f>
        <v>2.2590256628400001</v>
      </c>
      <c r="P34">
        <f>Inputs!P34</f>
        <v>10.728346800000001</v>
      </c>
      <c r="Q34">
        <f>Inputs!Q34</f>
        <v>829.76619924030001</v>
      </c>
      <c r="R34" t="str">
        <f>Inputs!R34</f>
        <v>remove</v>
      </c>
      <c r="S34" t="str">
        <f>Inputs!S34</f>
        <v>16330; 60</v>
      </c>
      <c r="T34">
        <f>Inputs!T34</f>
        <v>0</v>
      </c>
      <c r="U34">
        <f>Inputs!U34</f>
        <v>0</v>
      </c>
      <c r="V34">
        <f>IF(Inputs!V34=0,2020,Inputs!V34)</f>
        <v>2020</v>
      </c>
      <c r="W34">
        <f>Inputs!W34</f>
        <v>0</v>
      </c>
      <c r="X34" t="str">
        <f>IF(Inputs!X34=0,"UNK",Inputs!X34)</f>
        <v>UNK</v>
      </c>
      <c r="Y34" t="str">
        <f>Inputs!Y34</f>
        <v>Yes</v>
      </c>
      <c r="Z34" t="str">
        <f>Inputs!Z34</f>
        <v>Slab</v>
      </c>
      <c r="AA34">
        <f>Inputs!AA34</f>
        <v>829.76619924030001</v>
      </c>
      <c r="AB34">
        <f>IF(Z34="Piers",MIN(2,Inputs!AB34),Inputs!AB34)</f>
        <v>0</v>
      </c>
      <c r="AC34">
        <f>Inputs!AC34</f>
        <v>1</v>
      </c>
      <c r="AD34">
        <f>Inputs!AD34</f>
        <v>0</v>
      </c>
      <c r="AE34">
        <f>Inputs!AE34</f>
        <v>0</v>
      </c>
      <c r="AF34">
        <f>Inputs!AF34</f>
        <v>0</v>
      </c>
      <c r="AG34">
        <f>Inputs!AG34</f>
        <v>0</v>
      </c>
      <c r="AH34">
        <f>Inputs!AH34</f>
        <v>0</v>
      </c>
      <c r="AI34" t="str">
        <f>Inputs!AI34</f>
        <v>picnic shelter</v>
      </c>
      <c r="AJ34" t="str">
        <f>Inputs!AJ34</f>
        <v>Fort Tilden</v>
      </c>
      <c r="AK34" t="str">
        <f t="shared" si="0"/>
        <v>Unknown</v>
      </c>
      <c r="AL34" t="str">
        <f t="shared" si="6"/>
        <v>UNK</v>
      </c>
      <c r="AM34">
        <f t="shared" si="1"/>
        <v>30</v>
      </c>
      <c r="AN34">
        <f t="shared" si="7"/>
        <v>11.98737246284</v>
      </c>
      <c r="AO34">
        <f t="shared" si="2"/>
        <v>23</v>
      </c>
      <c r="AP34">
        <f ca="1">OFFSET(Coastal_DDF!$F$10,0,AO34,1,1)</f>
        <v>11</v>
      </c>
      <c r="AQ34">
        <f ca="1">OFFSET(Coastal_DDF!$F$10,0,AO34+1,1,1)</f>
        <v>12</v>
      </c>
      <c r="AR34">
        <f ca="1">OFFSET(Coastal_DDF!$F$10,AM34,AO34,1,1)</f>
        <v>46</v>
      </c>
      <c r="AS34">
        <f ca="1">OFFSET(Coastal_DDF!$F$10,AM34,AO34+1,1,1)</f>
        <v>47</v>
      </c>
      <c r="AT34">
        <f t="shared" ca="1" si="8"/>
        <v>1</v>
      </c>
      <c r="AU34">
        <f t="shared" ca="1" si="9"/>
        <v>46.98737246284</v>
      </c>
      <c r="AV34">
        <f t="shared" ca="1" si="10"/>
        <v>0</v>
      </c>
      <c r="AW34">
        <f t="shared" ca="1" si="3"/>
        <v>0</v>
      </c>
      <c r="AX34">
        <f t="shared" si="11"/>
        <v>1.2590256628400001</v>
      </c>
      <c r="AY34">
        <f t="shared" si="4"/>
        <v>13</v>
      </c>
      <c r="AZ34">
        <f ca="1">OFFSET(Coastal_DDF!$F$10,0,AY34,1,1)</f>
        <v>1</v>
      </c>
      <c r="BA34">
        <f ca="1">OFFSET(Coastal_DDF!$F$10,0,AY34+1,1,1)</f>
        <v>2</v>
      </c>
      <c r="BB34">
        <f ca="1">OFFSET(Coastal_DDF!$F$10,AM34,AY34,1,1)</f>
        <v>9</v>
      </c>
      <c r="BC34">
        <f ca="1">OFFSET(Coastal_DDF!$F$10,AM34,AY34+1,1,1)</f>
        <v>15</v>
      </c>
      <c r="BD34">
        <f t="shared" ca="1" si="12"/>
        <v>6</v>
      </c>
      <c r="BE34">
        <f t="shared" ca="1" si="13"/>
        <v>10.55415397704</v>
      </c>
      <c r="BF34">
        <f t="shared" ca="1" si="14"/>
        <v>0</v>
      </c>
      <c r="BG34">
        <f t="shared" ca="1" si="5"/>
        <v>0</v>
      </c>
    </row>
    <row r="35" spans="1:59" x14ac:dyDescent="0.25">
      <c r="A35">
        <f>Inputs!A35</f>
        <v>100</v>
      </c>
      <c r="B35" t="str">
        <f>Inputs!B35</f>
        <v>NPS-1A</v>
      </c>
      <c r="C35">
        <f>Inputs!C35</f>
        <v>1</v>
      </c>
      <c r="D35" t="str">
        <f>Inputs!D35</f>
        <v>NY_NPS_1A_0033</v>
      </c>
      <c r="E35">
        <f>Inputs!E35</f>
        <v>0</v>
      </c>
      <c r="F35">
        <f>Inputs!F35</f>
        <v>0</v>
      </c>
      <c r="G35">
        <f>Inputs!G35</f>
        <v>52.268340000000002</v>
      </c>
      <c r="H35">
        <f>Inputs!H35</f>
        <v>3.463098</v>
      </c>
      <c r="I35">
        <f>Inputs!I35</f>
        <v>3.4330980000000002</v>
      </c>
      <c r="J35">
        <f>Inputs!J35</f>
        <v>0.03</v>
      </c>
      <c r="K35">
        <f>Inputs!K35</f>
        <v>4.9000000000000004</v>
      </c>
      <c r="L35" t="str">
        <f>Inputs!L35</f>
        <v>No</v>
      </c>
      <c r="M35">
        <f>Inputs!M35</f>
        <v>0</v>
      </c>
      <c r="N35">
        <f>Inputs!N35</f>
        <v>11.361870442320001</v>
      </c>
      <c r="O35">
        <f>Inputs!O35</f>
        <v>11.263445242320001</v>
      </c>
      <c r="P35">
        <f>Inputs!P35</f>
        <v>9.842519999999999E-2</v>
      </c>
      <c r="Q35">
        <f>Inputs!Q35</f>
        <v>562.61118492599996</v>
      </c>
      <c r="R35" t="str">
        <f>Inputs!R35</f>
        <v>remove</v>
      </c>
      <c r="S35" t="str">
        <f>Inputs!S35</f>
        <v>16325; 100</v>
      </c>
      <c r="T35">
        <f>Inputs!T35</f>
        <v>0</v>
      </c>
      <c r="U35">
        <f>Inputs!U35</f>
        <v>0</v>
      </c>
      <c r="V35">
        <f>IF(Inputs!V35=0,2020,Inputs!V35)</f>
        <v>2020</v>
      </c>
      <c r="W35">
        <f>Inputs!W35</f>
        <v>0</v>
      </c>
      <c r="X35" t="str">
        <f>IF(Inputs!X35=0,"UNK",Inputs!X35)</f>
        <v>UNK</v>
      </c>
      <c r="Y35" t="str">
        <f>Inputs!Y35</f>
        <v>No</v>
      </c>
      <c r="Z35" t="str">
        <f>Inputs!Z35</f>
        <v>Slab</v>
      </c>
      <c r="AA35">
        <f>Inputs!AA35</f>
        <v>562.61118492599996</v>
      </c>
      <c r="AB35">
        <f>IF(Z35="Piers",MIN(2,Inputs!AB35),Inputs!AB35)</f>
        <v>0</v>
      </c>
      <c r="AC35">
        <f>Inputs!AC35</f>
        <v>1</v>
      </c>
      <c r="AD35">
        <f>Inputs!AD35</f>
        <v>0</v>
      </c>
      <c r="AE35">
        <f>Inputs!AE35</f>
        <v>0</v>
      </c>
      <c r="AF35">
        <f>Inputs!AF35</f>
        <v>0</v>
      </c>
      <c r="AG35">
        <f>Inputs!AG35</f>
        <v>0</v>
      </c>
      <c r="AH35">
        <f>Inputs!AH35</f>
        <v>0</v>
      </c>
      <c r="AI35" t="str">
        <f>Inputs!AI35</f>
        <v>container/shed next to firestation</v>
      </c>
      <c r="AJ35" t="str">
        <f>Inputs!AJ35</f>
        <v>Jacob Riis Beach</v>
      </c>
      <c r="AK35" t="str">
        <f t="shared" si="0"/>
        <v>Unknown</v>
      </c>
      <c r="AL35" t="str">
        <f t="shared" si="6"/>
        <v>UNK</v>
      </c>
      <c r="AM35">
        <f t="shared" si="1"/>
        <v>30</v>
      </c>
      <c r="AN35">
        <f t="shared" si="7"/>
        <v>10.361870442320001</v>
      </c>
      <c r="AO35">
        <f t="shared" si="2"/>
        <v>22</v>
      </c>
      <c r="AP35">
        <f ca="1">OFFSET(Coastal_DDF!$F$10,0,AO35,1,1)</f>
        <v>10</v>
      </c>
      <c r="AQ35">
        <f ca="1">OFFSET(Coastal_DDF!$F$10,0,AO35+1,1,1)</f>
        <v>11</v>
      </c>
      <c r="AR35">
        <f ca="1">OFFSET(Coastal_DDF!$F$10,AM35,AO35,1,1)</f>
        <v>45</v>
      </c>
      <c r="AS35">
        <f ca="1">OFFSET(Coastal_DDF!$F$10,AM35,AO35+1,1,1)</f>
        <v>46</v>
      </c>
      <c r="AT35">
        <f t="shared" ca="1" si="8"/>
        <v>1</v>
      </c>
      <c r="AU35">
        <f t="shared" ca="1" si="9"/>
        <v>45.361870442319997</v>
      </c>
      <c r="AV35">
        <f t="shared" ca="1" si="10"/>
        <v>0</v>
      </c>
      <c r="AW35">
        <f t="shared" ca="1" si="3"/>
        <v>0</v>
      </c>
      <c r="AX35">
        <f t="shared" si="11"/>
        <v>10.263445242320001</v>
      </c>
      <c r="AY35">
        <f t="shared" si="4"/>
        <v>22</v>
      </c>
      <c r="AZ35">
        <f ca="1">OFFSET(Coastal_DDF!$F$10,0,AY35,1,1)</f>
        <v>10</v>
      </c>
      <c r="BA35">
        <f ca="1">OFFSET(Coastal_DDF!$F$10,0,AY35+1,1,1)</f>
        <v>11</v>
      </c>
      <c r="BB35">
        <f ca="1">OFFSET(Coastal_DDF!$F$10,AM35,AY35,1,1)</f>
        <v>45</v>
      </c>
      <c r="BC35">
        <f ca="1">OFFSET(Coastal_DDF!$F$10,AM35,AY35+1,1,1)</f>
        <v>46</v>
      </c>
      <c r="BD35">
        <f t="shared" ca="1" si="12"/>
        <v>1</v>
      </c>
      <c r="BE35">
        <f t="shared" ca="1" si="13"/>
        <v>45.263445242320003</v>
      </c>
      <c r="BF35">
        <f t="shared" ca="1" si="14"/>
        <v>0</v>
      </c>
      <c r="BG35">
        <f t="shared" ca="1" si="5"/>
        <v>0</v>
      </c>
    </row>
    <row r="36" spans="1:59" x14ac:dyDescent="0.25">
      <c r="A36">
        <f>Inputs!A36</f>
        <v>100</v>
      </c>
      <c r="B36" t="str">
        <f>Inputs!B36</f>
        <v>NPS-1A</v>
      </c>
      <c r="C36">
        <f>Inputs!C36</f>
        <v>1</v>
      </c>
      <c r="D36" t="str">
        <f>Inputs!D36</f>
        <v>NY_NPS_1A_0034</v>
      </c>
      <c r="E36">
        <f>Inputs!E36</f>
        <v>0</v>
      </c>
      <c r="F36">
        <f>Inputs!F36</f>
        <v>0</v>
      </c>
      <c r="G36">
        <f>Inputs!G36</f>
        <v>28.854679000000001</v>
      </c>
      <c r="H36">
        <f>Inputs!H36</f>
        <v>3.5439970000000001</v>
      </c>
      <c r="I36">
        <f>Inputs!I36</f>
        <v>3.5139960000000001</v>
      </c>
      <c r="J36">
        <f>Inputs!J36</f>
        <v>0.03</v>
      </c>
      <c r="K36">
        <f>Inputs!K36</f>
        <v>4.9000000000000004</v>
      </c>
      <c r="L36" t="str">
        <f>Inputs!L36</f>
        <v>No</v>
      </c>
      <c r="M36">
        <f>Inputs!M36</f>
        <v>0</v>
      </c>
      <c r="N36">
        <f>Inputs!N36</f>
        <v>11.62728711748</v>
      </c>
      <c r="O36">
        <f>Inputs!O36</f>
        <v>11.528858636640001</v>
      </c>
      <c r="P36">
        <f>Inputs!P36</f>
        <v>9.842519999999999E-2</v>
      </c>
      <c r="Q36">
        <f>Inputs!Q36</f>
        <v>310.58887928809997</v>
      </c>
      <c r="R36" t="str">
        <f>Inputs!R36</f>
        <v>remove</v>
      </c>
      <c r="S36" t="str">
        <f>Inputs!S36</f>
        <v>16325; 1</v>
      </c>
      <c r="T36">
        <f>Inputs!T36</f>
        <v>0</v>
      </c>
      <c r="U36">
        <f>Inputs!U36</f>
        <v>0</v>
      </c>
      <c r="V36">
        <f>IF(Inputs!V36=0,2020,Inputs!V36)</f>
        <v>2020</v>
      </c>
      <c r="W36">
        <f>Inputs!W36</f>
        <v>0</v>
      </c>
      <c r="X36" t="str">
        <f>IF(Inputs!X36=0,"UNK",Inputs!X36)</f>
        <v>UNK</v>
      </c>
      <c r="Y36" t="str">
        <f>Inputs!Y36</f>
        <v>No</v>
      </c>
      <c r="Z36" t="str">
        <f>Inputs!Z36</f>
        <v>Slab</v>
      </c>
      <c r="AA36">
        <f>Inputs!AA36</f>
        <v>310.58887928809997</v>
      </c>
      <c r="AB36">
        <f>IF(Z36="Piers",MIN(2,Inputs!AB36),Inputs!AB36)</f>
        <v>0</v>
      </c>
      <c r="AC36">
        <f>Inputs!AC36</f>
        <v>1</v>
      </c>
      <c r="AD36">
        <f>Inputs!AD36</f>
        <v>0</v>
      </c>
      <c r="AE36">
        <f>Inputs!AE36</f>
        <v>0</v>
      </c>
      <c r="AF36">
        <f>Inputs!AF36</f>
        <v>0</v>
      </c>
      <c r="AG36">
        <f>Inputs!AG36</f>
        <v>0</v>
      </c>
      <c r="AH36">
        <f>Inputs!AH36</f>
        <v>0</v>
      </c>
      <c r="AI36" t="str">
        <f>Inputs!AI36</f>
        <v>container/shed next to firestation</v>
      </c>
      <c r="AJ36" t="str">
        <f>Inputs!AJ36</f>
        <v>Jacob Riis Beach</v>
      </c>
      <c r="AK36" t="str">
        <f t="shared" si="0"/>
        <v>Unknown</v>
      </c>
      <c r="AL36" t="str">
        <f t="shared" si="6"/>
        <v>UNK</v>
      </c>
      <c r="AM36">
        <f t="shared" si="1"/>
        <v>30</v>
      </c>
      <c r="AN36">
        <f t="shared" si="7"/>
        <v>10.62728711748</v>
      </c>
      <c r="AO36">
        <f t="shared" si="2"/>
        <v>22</v>
      </c>
      <c r="AP36">
        <f ca="1">OFFSET(Coastal_DDF!$F$10,0,AO36,1,1)</f>
        <v>10</v>
      </c>
      <c r="AQ36">
        <f ca="1">OFFSET(Coastal_DDF!$F$10,0,AO36+1,1,1)</f>
        <v>11</v>
      </c>
      <c r="AR36">
        <f ca="1">OFFSET(Coastal_DDF!$F$10,AM36,AO36,1,1)</f>
        <v>45</v>
      </c>
      <c r="AS36">
        <f ca="1">OFFSET(Coastal_DDF!$F$10,AM36,AO36+1,1,1)</f>
        <v>46</v>
      </c>
      <c r="AT36">
        <f t="shared" ca="1" si="8"/>
        <v>1</v>
      </c>
      <c r="AU36">
        <f t="shared" ca="1" si="9"/>
        <v>45.627287117480002</v>
      </c>
      <c r="AV36">
        <f t="shared" ca="1" si="10"/>
        <v>0</v>
      </c>
      <c r="AW36">
        <f t="shared" ca="1" si="3"/>
        <v>0</v>
      </c>
      <c r="AX36">
        <f t="shared" si="11"/>
        <v>10.528858636640001</v>
      </c>
      <c r="AY36">
        <f t="shared" si="4"/>
        <v>22</v>
      </c>
      <c r="AZ36">
        <f ca="1">OFFSET(Coastal_DDF!$F$10,0,AY36,1,1)</f>
        <v>10</v>
      </c>
      <c r="BA36">
        <f ca="1">OFFSET(Coastal_DDF!$F$10,0,AY36+1,1,1)</f>
        <v>11</v>
      </c>
      <c r="BB36">
        <f ca="1">OFFSET(Coastal_DDF!$F$10,AM36,AY36,1,1)</f>
        <v>45</v>
      </c>
      <c r="BC36">
        <f ca="1">OFFSET(Coastal_DDF!$F$10,AM36,AY36+1,1,1)</f>
        <v>46</v>
      </c>
      <c r="BD36">
        <f t="shared" ca="1" si="12"/>
        <v>1</v>
      </c>
      <c r="BE36">
        <f t="shared" ca="1" si="13"/>
        <v>45.528858636640003</v>
      </c>
      <c r="BF36">
        <f t="shared" ca="1" si="14"/>
        <v>0</v>
      </c>
      <c r="BG36">
        <f t="shared" ca="1" si="5"/>
        <v>0</v>
      </c>
    </row>
    <row r="37" spans="1:59" x14ac:dyDescent="0.25">
      <c r="A37">
        <f>Inputs!A37</f>
        <v>100</v>
      </c>
      <c r="B37" t="str">
        <f>Inputs!B37</f>
        <v>NPS-1A</v>
      </c>
      <c r="C37">
        <f>Inputs!C37</f>
        <v>1</v>
      </c>
      <c r="D37" t="str">
        <f>Inputs!D37</f>
        <v>NY_NPS_1A_0036</v>
      </c>
      <c r="E37">
        <f>Inputs!E37</f>
        <v>0</v>
      </c>
      <c r="F37">
        <f>Inputs!F37</f>
        <v>0</v>
      </c>
      <c r="G37">
        <f>Inputs!G37</f>
        <v>6.9797969999999996</v>
      </c>
      <c r="H37">
        <f>Inputs!H37</f>
        <v>3.6934969999999998</v>
      </c>
      <c r="I37">
        <f>Inputs!I37</f>
        <v>3.6734969999999998</v>
      </c>
      <c r="J37">
        <f>Inputs!J37</f>
        <v>0.02</v>
      </c>
      <c r="K37">
        <f>Inputs!K37</f>
        <v>1.62</v>
      </c>
      <c r="L37" t="str">
        <f>Inputs!L37</f>
        <v>No</v>
      </c>
      <c r="M37">
        <f>Inputs!M37</f>
        <v>0</v>
      </c>
      <c r="N37">
        <f>Inputs!N37</f>
        <v>12.11777269748</v>
      </c>
      <c r="O37">
        <f>Inputs!O37</f>
        <v>12.052155897479999</v>
      </c>
      <c r="P37">
        <f>Inputs!P37</f>
        <v>6.5616800000000003E-2</v>
      </c>
      <c r="Q37">
        <f>Inputs!Q37</f>
        <v>75.129836928299994</v>
      </c>
      <c r="R37" t="str">
        <f>Inputs!R37</f>
        <v>remove</v>
      </c>
      <c r="S37" t="str">
        <f>Inputs!S37</f>
        <v>16325; 1</v>
      </c>
      <c r="T37">
        <f>Inputs!T37</f>
        <v>0</v>
      </c>
      <c r="U37">
        <f>Inputs!U37</f>
        <v>0</v>
      </c>
      <c r="V37">
        <f>IF(Inputs!V37=0,2020,Inputs!V37)</f>
        <v>2020</v>
      </c>
      <c r="W37">
        <f>Inputs!W37</f>
        <v>0</v>
      </c>
      <c r="X37" t="str">
        <f>IF(Inputs!X37=0,"UNK",Inputs!X37)</f>
        <v>UNK</v>
      </c>
      <c r="Y37" t="str">
        <f>Inputs!Y37</f>
        <v>No</v>
      </c>
      <c r="Z37" t="str">
        <f>Inputs!Z37</f>
        <v>Slab</v>
      </c>
      <c r="AA37">
        <f>Inputs!AA37</f>
        <v>75.129836928299994</v>
      </c>
      <c r="AB37">
        <f>IF(Z37="Piers",MIN(2,Inputs!AB37),Inputs!AB37)</f>
        <v>0</v>
      </c>
      <c r="AC37">
        <f>Inputs!AC37</f>
        <v>1</v>
      </c>
      <c r="AD37">
        <f>Inputs!AD37</f>
        <v>0</v>
      </c>
      <c r="AE37">
        <f>Inputs!AE37</f>
        <v>0</v>
      </c>
      <c r="AF37">
        <f>Inputs!AF37</f>
        <v>0</v>
      </c>
      <c r="AG37">
        <f>Inputs!AG37</f>
        <v>0</v>
      </c>
      <c r="AH37">
        <f>Inputs!AH37</f>
        <v>0</v>
      </c>
      <c r="AI37" t="str">
        <f>Inputs!AI37</f>
        <v>building not on tax map or on google earth</v>
      </c>
      <c r="AJ37" t="str">
        <f>Inputs!AJ37</f>
        <v>Jacob Riis Beach</v>
      </c>
      <c r="AK37" t="str">
        <f t="shared" si="0"/>
        <v>Unknown</v>
      </c>
      <c r="AL37" t="str">
        <f t="shared" si="6"/>
        <v>UNK</v>
      </c>
      <c r="AM37">
        <f t="shared" si="1"/>
        <v>30</v>
      </c>
      <c r="AN37">
        <f t="shared" si="7"/>
        <v>11.11777269748</v>
      </c>
      <c r="AO37">
        <f t="shared" si="2"/>
        <v>23</v>
      </c>
      <c r="AP37">
        <f ca="1">OFFSET(Coastal_DDF!$F$10,0,AO37,1,1)</f>
        <v>11</v>
      </c>
      <c r="AQ37">
        <f ca="1">OFFSET(Coastal_DDF!$F$10,0,AO37+1,1,1)</f>
        <v>12</v>
      </c>
      <c r="AR37">
        <f ca="1">OFFSET(Coastal_DDF!$F$10,AM37,AO37,1,1)</f>
        <v>46</v>
      </c>
      <c r="AS37">
        <f ca="1">OFFSET(Coastal_DDF!$F$10,AM37,AO37+1,1,1)</f>
        <v>47</v>
      </c>
      <c r="AT37">
        <f t="shared" ca="1" si="8"/>
        <v>1</v>
      </c>
      <c r="AU37">
        <f t="shared" ca="1" si="9"/>
        <v>46.11777269748</v>
      </c>
      <c r="AV37">
        <f t="shared" ca="1" si="10"/>
        <v>0</v>
      </c>
      <c r="AW37">
        <f t="shared" ca="1" si="3"/>
        <v>0</v>
      </c>
      <c r="AX37">
        <f t="shared" si="11"/>
        <v>11.052155897479999</v>
      </c>
      <c r="AY37">
        <f t="shared" si="4"/>
        <v>23</v>
      </c>
      <c r="AZ37">
        <f ca="1">OFFSET(Coastal_DDF!$F$10,0,AY37,1,1)</f>
        <v>11</v>
      </c>
      <c r="BA37">
        <f ca="1">OFFSET(Coastal_DDF!$F$10,0,AY37+1,1,1)</f>
        <v>12</v>
      </c>
      <c r="BB37">
        <f ca="1">OFFSET(Coastal_DDF!$F$10,AM37,AY37,1,1)</f>
        <v>46</v>
      </c>
      <c r="BC37">
        <f ca="1">OFFSET(Coastal_DDF!$F$10,AM37,AY37+1,1,1)</f>
        <v>47</v>
      </c>
      <c r="BD37">
        <f t="shared" ca="1" si="12"/>
        <v>1</v>
      </c>
      <c r="BE37">
        <f t="shared" ca="1" si="13"/>
        <v>46.052155897479999</v>
      </c>
      <c r="BF37">
        <f t="shared" ca="1" si="14"/>
        <v>0</v>
      </c>
      <c r="BG37">
        <f t="shared" ca="1" si="5"/>
        <v>0</v>
      </c>
    </row>
    <row r="38" spans="1:59" x14ac:dyDescent="0.25">
      <c r="A38">
        <f>Inputs!A38</f>
        <v>100</v>
      </c>
      <c r="B38" t="str">
        <f>Inputs!B38</f>
        <v>NPS-1A</v>
      </c>
      <c r="C38">
        <f>Inputs!C38</f>
        <v>1</v>
      </c>
      <c r="D38" t="str">
        <f>Inputs!D38</f>
        <v>NY_NPS_1A_0037</v>
      </c>
      <c r="E38">
        <f>Inputs!E38</f>
        <v>0</v>
      </c>
      <c r="F38">
        <f>Inputs!F38</f>
        <v>0</v>
      </c>
      <c r="G38">
        <f>Inputs!G38</f>
        <v>46.485855000000001</v>
      </c>
      <c r="H38">
        <f>Inputs!H38</f>
        <v>3.7066249999999998</v>
      </c>
      <c r="I38">
        <f>Inputs!I38</f>
        <v>3.6866240000000001</v>
      </c>
      <c r="J38">
        <f>Inputs!J38</f>
        <v>0.02</v>
      </c>
      <c r="K38">
        <f>Inputs!K38</f>
        <v>1.62</v>
      </c>
      <c r="L38" t="str">
        <f>Inputs!L38</f>
        <v>No</v>
      </c>
      <c r="M38">
        <f>Inputs!M38</f>
        <v>0</v>
      </c>
      <c r="N38">
        <f>Inputs!N38</f>
        <v>12.160843564999999</v>
      </c>
      <c r="O38">
        <f>Inputs!O38</f>
        <v>12.09522348416</v>
      </c>
      <c r="P38">
        <f>Inputs!P38</f>
        <v>6.5616800000000003E-2</v>
      </c>
      <c r="Q38">
        <f>Inputs!Q38</f>
        <v>500.36909463450002</v>
      </c>
      <c r="R38" t="str">
        <f>Inputs!R38</f>
        <v>remove</v>
      </c>
      <c r="S38" t="str">
        <f>Inputs!S38</f>
        <v>16325; 200</v>
      </c>
      <c r="T38">
        <f>Inputs!T38</f>
        <v>0</v>
      </c>
      <c r="U38">
        <f>Inputs!U38</f>
        <v>0</v>
      </c>
      <c r="V38">
        <f>IF(Inputs!V38=0,2020,Inputs!V38)</f>
        <v>2020</v>
      </c>
      <c r="W38">
        <f>Inputs!W38</f>
        <v>0</v>
      </c>
      <c r="X38" t="str">
        <f>IF(Inputs!X38=0,"UNK",Inputs!X38)</f>
        <v>UNK</v>
      </c>
      <c r="Y38" t="str">
        <f>Inputs!Y38</f>
        <v>Yes</v>
      </c>
      <c r="Z38" t="str">
        <f>Inputs!Z38</f>
        <v>Slab</v>
      </c>
      <c r="AA38">
        <f>Inputs!AA38</f>
        <v>500.36909463450002</v>
      </c>
      <c r="AB38">
        <f>IF(Z38="Piers",MIN(2,Inputs!AB38),Inputs!AB38)</f>
        <v>0</v>
      </c>
      <c r="AC38">
        <f>Inputs!AC38</f>
        <v>1</v>
      </c>
      <c r="AD38">
        <f>Inputs!AD38</f>
        <v>0</v>
      </c>
      <c r="AE38">
        <f>Inputs!AE38</f>
        <v>0</v>
      </c>
      <c r="AF38">
        <f>Inputs!AF38</f>
        <v>0</v>
      </c>
      <c r="AG38">
        <f>Inputs!AG38</f>
        <v>0</v>
      </c>
      <c r="AH38">
        <f>Inputs!AH38</f>
        <v>0</v>
      </c>
      <c r="AI38" t="str">
        <f>Inputs!AI38</f>
        <v>dugout for baseball diamond</v>
      </c>
      <c r="AJ38" t="str">
        <f>Inputs!AJ38</f>
        <v>Jacob Riis Beach</v>
      </c>
      <c r="AK38" t="str">
        <f t="shared" si="0"/>
        <v>Unknown</v>
      </c>
      <c r="AL38" t="str">
        <f t="shared" si="6"/>
        <v>UNK</v>
      </c>
      <c r="AM38">
        <f t="shared" si="1"/>
        <v>30</v>
      </c>
      <c r="AN38">
        <f t="shared" si="7"/>
        <v>11.160843564999999</v>
      </c>
      <c r="AO38">
        <f t="shared" si="2"/>
        <v>23</v>
      </c>
      <c r="AP38">
        <f ca="1">OFFSET(Coastal_DDF!$F$10,0,AO38,1,1)</f>
        <v>11</v>
      </c>
      <c r="AQ38">
        <f ca="1">OFFSET(Coastal_DDF!$F$10,0,AO38+1,1,1)</f>
        <v>12</v>
      </c>
      <c r="AR38">
        <f ca="1">OFFSET(Coastal_DDF!$F$10,AM38,AO38,1,1)</f>
        <v>46</v>
      </c>
      <c r="AS38">
        <f ca="1">OFFSET(Coastal_DDF!$F$10,AM38,AO38+1,1,1)</f>
        <v>47</v>
      </c>
      <c r="AT38">
        <f t="shared" ca="1" si="8"/>
        <v>1</v>
      </c>
      <c r="AU38">
        <f t="shared" ca="1" si="9"/>
        <v>46.160843565</v>
      </c>
      <c r="AV38">
        <f t="shared" ca="1" si="10"/>
        <v>0</v>
      </c>
      <c r="AW38">
        <f t="shared" ca="1" si="3"/>
        <v>0</v>
      </c>
      <c r="AX38">
        <f t="shared" si="11"/>
        <v>11.09522348416</v>
      </c>
      <c r="AY38">
        <f t="shared" si="4"/>
        <v>23</v>
      </c>
      <c r="AZ38">
        <f ca="1">OFFSET(Coastal_DDF!$F$10,0,AY38,1,1)</f>
        <v>11</v>
      </c>
      <c r="BA38">
        <f ca="1">OFFSET(Coastal_DDF!$F$10,0,AY38+1,1,1)</f>
        <v>12</v>
      </c>
      <c r="BB38">
        <f ca="1">OFFSET(Coastal_DDF!$F$10,AM38,AY38,1,1)</f>
        <v>46</v>
      </c>
      <c r="BC38">
        <f ca="1">OFFSET(Coastal_DDF!$F$10,AM38,AY38+1,1,1)</f>
        <v>47</v>
      </c>
      <c r="BD38">
        <f t="shared" ca="1" si="12"/>
        <v>1</v>
      </c>
      <c r="BE38">
        <f t="shared" ca="1" si="13"/>
        <v>46.095223484160002</v>
      </c>
      <c r="BF38">
        <f t="shared" ca="1" si="14"/>
        <v>0</v>
      </c>
      <c r="BG38">
        <f t="shared" ca="1" si="5"/>
        <v>0</v>
      </c>
    </row>
    <row r="39" spans="1:59" x14ac:dyDescent="0.25">
      <c r="A39">
        <f>Inputs!A39</f>
        <v>100</v>
      </c>
      <c r="B39" t="str">
        <f>Inputs!B39</f>
        <v>NPS-1A</v>
      </c>
      <c r="C39">
        <f>Inputs!C39</f>
        <v>1</v>
      </c>
      <c r="D39" t="str">
        <f>Inputs!D39</f>
        <v>NY_NPS_1A_0038</v>
      </c>
      <c r="E39">
        <f>Inputs!E39</f>
        <v>0</v>
      </c>
      <c r="F39">
        <f>Inputs!F39</f>
        <v>0</v>
      </c>
      <c r="G39">
        <f>Inputs!G39</f>
        <v>15.134173000000001</v>
      </c>
      <c r="H39">
        <f>Inputs!H39</f>
        <v>3.5037910000000001</v>
      </c>
      <c r="I39">
        <f>Inputs!I39</f>
        <v>3.4937909999999999</v>
      </c>
      <c r="J39">
        <f>Inputs!J39</f>
        <v>0.01</v>
      </c>
      <c r="K39">
        <f>Inputs!K39</f>
        <v>1.62</v>
      </c>
      <c r="L39" t="str">
        <f>Inputs!L39</f>
        <v>No</v>
      </c>
      <c r="M39">
        <f>Inputs!M39</f>
        <v>0</v>
      </c>
      <c r="N39">
        <f>Inputs!N39</f>
        <v>11.495377664439999</v>
      </c>
      <c r="O39">
        <f>Inputs!O39</f>
        <v>11.462569264439999</v>
      </c>
      <c r="P39">
        <f>Inputs!P39</f>
        <v>3.2808400000000001E-2</v>
      </c>
      <c r="Q39">
        <f>Inputs!Q39</f>
        <v>162.90272475469999</v>
      </c>
      <c r="R39" t="str">
        <f>Inputs!R39</f>
        <v>RS Means - median restaurant (335)</v>
      </c>
      <c r="S39" t="str">
        <f>Inputs!S39</f>
        <v>16325; 200</v>
      </c>
      <c r="T39">
        <f>Inputs!T39</f>
        <v>0</v>
      </c>
      <c r="U39">
        <f>Inputs!U39</f>
        <v>27776.543597923894</v>
      </c>
      <c r="V39">
        <f>IF(Inputs!V39=0,2020,Inputs!V39)</f>
        <v>2006</v>
      </c>
      <c r="W39">
        <f>Inputs!W39</f>
        <v>0</v>
      </c>
      <c r="X39" t="str">
        <f>IF(Inputs!X39=0,"UNK",Inputs!X39)</f>
        <v>COM8</v>
      </c>
      <c r="Y39" t="str">
        <f>Inputs!Y39</f>
        <v>Yes</v>
      </c>
      <c r="Z39" t="str">
        <f>Inputs!Z39</f>
        <v>Slab</v>
      </c>
      <c r="AA39">
        <f>Inputs!AA39</f>
        <v>162.90272475469999</v>
      </c>
      <c r="AB39">
        <f>IF(Z39="Piers",MIN(2,Inputs!AB39),Inputs!AB39)</f>
        <v>1</v>
      </c>
      <c r="AC39">
        <f>Inputs!AC39</f>
        <v>1</v>
      </c>
      <c r="AD39">
        <f>Inputs!AD39</f>
        <v>170.51</v>
      </c>
      <c r="AE39">
        <f>Inputs!AE39</f>
        <v>2006</v>
      </c>
      <c r="AF39" t="str">
        <f>Inputs!AF39</f>
        <v>Based on restuarant</v>
      </c>
      <c r="AG39">
        <f>Inputs!AG39</f>
        <v>0</v>
      </c>
      <c r="AH39" t="str">
        <f>Inputs!AH39</f>
        <v>https://riisparkbeachbazaar.com/</v>
      </c>
      <c r="AI39" t="str">
        <f>Inputs!AI39</f>
        <v>Two Dude's Takeout</v>
      </c>
      <c r="AJ39" t="str">
        <f>Inputs!AJ39</f>
        <v>Jacob Riis Beach</v>
      </c>
      <c r="AK39" t="str">
        <f t="shared" si="0"/>
        <v>Com</v>
      </c>
      <c r="AL39" t="str">
        <f t="shared" si="6"/>
        <v>COM8</v>
      </c>
      <c r="AM39">
        <f t="shared" si="1"/>
        <v>15</v>
      </c>
      <c r="AN39">
        <f t="shared" si="7"/>
        <v>10.495377664439999</v>
      </c>
      <c r="AO39">
        <f t="shared" si="2"/>
        <v>22</v>
      </c>
      <c r="AP39">
        <f ca="1">OFFSET(Coastal_DDF!$F$10,0,AO39,1,1)</f>
        <v>10</v>
      </c>
      <c r="AQ39">
        <f ca="1">OFFSET(Coastal_DDF!$F$10,0,AO39+1,1,1)</f>
        <v>11</v>
      </c>
      <c r="AR39">
        <f ca="1">OFFSET(Coastal_DDF!$F$10,AM39,AO39,1,1)</f>
        <v>24</v>
      </c>
      <c r="AS39">
        <f ca="1">OFFSET(Coastal_DDF!$F$10,AM39,AO39+1,1,1)</f>
        <v>27</v>
      </c>
      <c r="AT39">
        <f t="shared" ca="1" si="8"/>
        <v>3</v>
      </c>
      <c r="AU39">
        <f t="shared" ca="1" si="9"/>
        <v>25.486132993319998</v>
      </c>
      <c r="AV39">
        <f t="shared" ca="1" si="10"/>
        <v>7079.1668423143956</v>
      </c>
      <c r="AW39">
        <f t="shared" ca="1" si="3"/>
        <v>9153.9226612130351</v>
      </c>
      <c r="AX39">
        <f t="shared" si="11"/>
        <v>10.462569264439999</v>
      </c>
      <c r="AY39">
        <f t="shared" si="4"/>
        <v>22</v>
      </c>
      <c r="AZ39">
        <f ca="1">OFFSET(Coastal_DDF!$F$10,0,AY39,1,1)</f>
        <v>10</v>
      </c>
      <c r="BA39">
        <f ca="1">OFFSET(Coastal_DDF!$F$10,0,AY39+1,1,1)</f>
        <v>11</v>
      </c>
      <c r="BB39">
        <f ca="1">OFFSET(Coastal_DDF!$F$10,AM39,AY39,1,1)</f>
        <v>24</v>
      </c>
      <c r="BC39">
        <f ca="1">OFFSET(Coastal_DDF!$F$10,AM39,AY39+1,1,1)</f>
        <v>27</v>
      </c>
      <c r="BD39">
        <f t="shared" ca="1" si="12"/>
        <v>3</v>
      </c>
      <c r="BE39">
        <f t="shared" ca="1" si="13"/>
        <v>25.387707793319997</v>
      </c>
      <c r="BF39">
        <f t="shared" ca="1" si="14"/>
        <v>7051.8277237250513</v>
      </c>
      <c r="BG39">
        <f t="shared" ca="1" si="5"/>
        <v>9118.5710184608524</v>
      </c>
    </row>
    <row r="40" spans="1:59" x14ac:dyDescent="0.25">
      <c r="A40">
        <f>Inputs!A40</f>
        <v>100</v>
      </c>
      <c r="B40" t="str">
        <f>Inputs!B40</f>
        <v>NFWF-43986</v>
      </c>
      <c r="C40">
        <f>Inputs!C40</f>
        <v>1</v>
      </c>
      <c r="D40" t="str">
        <f>Inputs!D40</f>
        <v>NJ_NFWF_43986_1_0001</v>
      </c>
      <c r="E40">
        <f>Inputs!E40</f>
        <v>0</v>
      </c>
      <c r="F40">
        <f>Inputs!F40</f>
        <v>0</v>
      </c>
      <c r="G40">
        <f>Inputs!G40</f>
        <v>241.395444</v>
      </c>
      <c r="H40">
        <f>Inputs!H40</f>
        <v>3.5418639999999999</v>
      </c>
      <c r="I40">
        <f>Inputs!I40</f>
        <v>1.9618640000000001</v>
      </c>
      <c r="J40">
        <f>Inputs!J40</f>
        <v>1.58</v>
      </c>
      <c r="K40">
        <f>Inputs!K40</f>
        <v>5.125</v>
      </c>
      <c r="L40" t="str">
        <f>Inputs!L40</f>
        <v>No</v>
      </c>
      <c r="M40">
        <f>Inputs!M40</f>
        <v>0</v>
      </c>
      <c r="N40">
        <f>Inputs!N40</f>
        <v>11.62028908576</v>
      </c>
      <c r="O40">
        <f>Inputs!O40</f>
        <v>6.4365618857599998</v>
      </c>
      <c r="P40">
        <f>Inputs!P40</f>
        <v>5.1837271999999999</v>
      </c>
      <c r="Q40">
        <f>Inputs!Q40</f>
        <v>2598.3564196715997</v>
      </c>
      <c r="R40" t="str">
        <f>Inputs!R40</f>
        <v>Zillow</v>
      </c>
      <c r="S40" t="str">
        <f>Inputs!S40</f>
        <v>51; 4</v>
      </c>
      <c r="T40">
        <f>Inputs!T40</f>
        <v>924900</v>
      </c>
      <c r="U40">
        <f>T40</f>
        <v>924900</v>
      </c>
      <c r="V40">
        <f>IF(Inputs!V40=0,2020,Inputs!V40)</f>
        <v>2020</v>
      </c>
      <c r="W40">
        <f>Inputs!W40</f>
        <v>2006</v>
      </c>
      <c r="X40" t="str">
        <f>IF(Inputs!X40=0,"UNK",Inputs!X40)</f>
        <v>RES1</v>
      </c>
      <c r="Y40" t="str">
        <f>Inputs!Y40</f>
        <v>No</v>
      </c>
      <c r="Z40" t="str">
        <f>Inputs!Z40</f>
        <v>Slab</v>
      </c>
      <c r="AA40">
        <f>Inputs!AA40</f>
        <v>4785</v>
      </c>
      <c r="AB40">
        <f>IF(Z40="Piers",MIN(2,Inputs!AB40),Inputs!AB40)</f>
        <v>3</v>
      </c>
      <c r="AC40">
        <f>Inputs!AC40</f>
        <v>1</v>
      </c>
      <c r="AD40">
        <f>Inputs!AD40</f>
        <v>90.15</v>
      </c>
      <c r="AE40">
        <f>Inputs!AE40</f>
        <v>2006</v>
      </c>
      <c r="AF40">
        <f>Inputs!AF40</f>
        <v>0</v>
      </c>
      <c r="AG40">
        <f>Inputs!AG40</f>
        <v>2.66</v>
      </c>
      <c r="AH40" t="str">
        <f>Inputs!AH40</f>
        <v>https://www.zillow.com/homedetails/28-Ocean-Ave-Monmouth-Beach-NJ-07750/39341993_zpid/</v>
      </c>
      <c r="AI40" t="str">
        <f>Inputs!AI40</f>
        <v>may be a second home? Garage on first floor with some living space</v>
      </c>
      <c r="AJ40" t="str">
        <f>Inputs!AJ40</f>
        <v>28 Ocean Ave Monmoth Beach NJ</v>
      </c>
      <c r="AK40" t="str">
        <f t="shared" si="0"/>
        <v>Res</v>
      </c>
      <c r="AL40" t="str">
        <f t="shared" si="6"/>
        <v>RES1.3.Slab</v>
      </c>
      <c r="AM40">
        <f t="shared" si="1"/>
        <v>26</v>
      </c>
      <c r="AN40">
        <f t="shared" si="7"/>
        <v>10.62028908576</v>
      </c>
      <c r="AO40">
        <f t="shared" si="2"/>
        <v>22</v>
      </c>
      <c r="AP40">
        <f ca="1">OFFSET(Coastal_DDF!$F$10,0,AO40,1,1)</f>
        <v>10</v>
      </c>
      <c r="AQ40">
        <f ca="1">OFFSET(Coastal_DDF!$F$10,0,AO40+1,1,1)</f>
        <v>11</v>
      </c>
      <c r="AR40">
        <f ca="1">OFFSET(Coastal_DDF!$F$10,AM40,AO40,1,1)</f>
        <v>20</v>
      </c>
      <c r="AS40">
        <f ca="1">OFFSET(Coastal_DDF!$F$10,AM40,AO40+1,1,1)</f>
        <v>24</v>
      </c>
      <c r="AT40">
        <f t="shared" ca="1" si="8"/>
        <v>4</v>
      </c>
      <c r="AU40">
        <f t="shared" ca="1" si="9"/>
        <v>22.481156343039999</v>
      </c>
      <c r="AV40">
        <f t="shared" ca="1" si="10"/>
        <v>207928.21501677696</v>
      </c>
      <c r="AW40">
        <f t="shared" ca="1" si="3"/>
        <v>207928.21501677696</v>
      </c>
      <c r="AX40">
        <f t="shared" si="11"/>
        <v>5.4365618857599998</v>
      </c>
      <c r="AY40">
        <f t="shared" si="4"/>
        <v>17</v>
      </c>
      <c r="AZ40">
        <f ca="1">OFFSET(Coastal_DDF!$F$10,0,AY40,1,1)</f>
        <v>5</v>
      </c>
      <c r="BA40">
        <f ca="1">OFFSET(Coastal_DDF!$F$10,0,AY40+1,1,1)</f>
        <v>6</v>
      </c>
      <c r="BB40">
        <f ca="1">OFFSET(Coastal_DDF!$F$10,AM40,AY40,1,1)</f>
        <v>10</v>
      </c>
      <c r="BC40">
        <f ca="1">OFFSET(Coastal_DDF!$F$10,AM40,AY40+1,1,1)</f>
        <v>11</v>
      </c>
      <c r="BD40">
        <f t="shared" ca="1" si="12"/>
        <v>1</v>
      </c>
      <c r="BE40">
        <f t="shared" ca="1" si="13"/>
        <v>10.43656188576</v>
      </c>
      <c r="BF40">
        <f t="shared" ca="1" si="14"/>
        <v>96527.760881394235</v>
      </c>
      <c r="BG40">
        <f t="shared" ca="1" si="5"/>
        <v>96527.760881394235</v>
      </c>
    </row>
    <row r="41" spans="1:59" x14ac:dyDescent="0.25">
      <c r="A41">
        <f>Inputs!A41</f>
        <v>100</v>
      </c>
      <c r="B41" t="str">
        <f>Inputs!B41</f>
        <v>NFWF-43986</v>
      </c>
      <c r="C41">
        <f>Inputs!C41</f>
        <v>1</v>
      </c>
      <c r="D41" t="str">
        <f>Inputs!D41</f>
        <v>NJ_NFWF_43986_1_0002</v>
      </c>
      <c r="E41">
        <f>Inputs!E41</f>
        <v>0</v>
      </c>
      <c r="F41">
        <f>Inputs!F41</f>
        <v>0</v>
      </c>
      <c r="G41">
        <f>Inputs!G41</f>
        <v>502.45007199999998</v>
      </c>
      <c r="H41">
        <f>Inputs!H41</f>
        <v>3.3637679999999999</v>
      </c>
      <c r="I41">
        <f>Inputs!I41</f>
        <v>1.783768</v>
      </c>
      <c r="J41">
        <f>Inputs!J41</f>
        <v>1.58</v>
      </c>
      <c r="K41">
        <f>Inputs!K41</f>
        <v>5.125</v>
      </c>
      <c r="L41" t="str">
        <f>Inputs!L41</f>
        <v>No</v>
      </c>
      <c r="M41">
        <f>Inputs!M41</f>
        <v>0</v>
      </c>
      <c r="N41">
        <f>Inputs!N41</f>
        <v>11.035984605119999</v>
      </c>
      <c r="O41">
        <f>Inputs!O41</f>
        <v>5.8522574051199996</v>
      </c>
      <c r="P41">
        <f>Inputs!P41</f>
        <v>5.1837271999999999</v>
      </c>
      <c r="Q41">
        <f>Inputs!Q41</f>
        <v>5408.3223300007994</v>
      </c>
      <c r="R41" t="str">
        <f>Inputs!R41</f>
        <v>Zillow</v>
      </c>
      <c r="S41">
        <f>Inputs!S41</f>
        <v>0</v>
      </c>
      <c r="T41">
        <f>Inputs!T41</f>
        <v>1584000</v>
      </c>
      <c r="U41">
        <f t="shared" ref="U41:U44" si="15">T41</f>
        <v>1584000</v>
      </c>
      <c r="V41">
        <f>IF(Inputs!V41=0,2020,Inputs!V41)</f>
        <v>2020</v>
      </c>
      <c r="W41">
        <f>Inputs!W41</f>
        <v>2002</v>
      </c>
      <c r="X41" t="str">
        <f>IF(Inputs!X41=0,"UNK",Inputs!X41)</f>
        <v>RES1</v>
      </c>
      <c r="Y41" t="str">
        <f>Inputs!Y41</f>
        <v>No</v>
      </c>
      <c r="Z41" t="str">
        <f>Inputs!Z41</f>
        <v>Slab</v>
      </c>
      <c r="AA41">
        <f>Inputs!AA41</f>
        <v>6600</v>
      </c>
      <c r="AB41">
        <f>IF(Z41="Piers",MIN(2,Inputs!AB41),Inputs!AB41)</f>
        <v>3</v>
      </c>
      <c r="AC41">
        <f>Inputs!AC41</f>
        <v>1</v>
      </c>
      <c r="AD41">
        <f>Inputs!AD41</f>
        <v>90.15</v>
      </c>
      <c r="AE41">
        <f>Inputs!AE41</f>
        <v>2006</v>
      </c>
      <c r="AF41">
        <f>Inputs!AF41</f>
        <v>0</v>
      </c>
      <c r="AG41">
        <f>Inputs!AG41</f>
        <v>2.66</v>
      </c>
      <c r="AH41" t="str">
        <f>Inputs!AH41</f>
        <v>https://www.zillow.com/homedetails/26-Ocean-Ave-Monmouth-Beach-NJ-07750/39341994_zpid/</v>
      </c>
      <c r="AI41" t="str">
        <f>Inputs!AI41</f>
        <v>may be a second home? Detached garage not in ZOI</v>
      </c>
      <c r="AJ41" t="str">
        <f>Inputs!AJ41</f>
        <v>26 Ocean Ave Monmoth Beach NJ</v>
      </c>
      <c r="AK41" t="str">
        <f t="shared" si="0"/>
        <v>Res</v>
      </c>
      <c r="AL41" t="str">
        <f t="shared" si="6"/>
        <v>RES1.3.Slab</v>
      </c>
      <c r="AM41">
        <f t="shared" si="1"/>
        <v>26</v>
      </c>
      <c r="AN41">
        <f t="shared" si="7"/>
        <v>10.035984605119999</v>
      </c>
      <c r="AO41">
        <f t="shared" si="2"/>
        <v>22</v>
      </c>
      <c r="AP41">
        <f ca="1">OFFSET(Coastal_DDF!$F$10,0,AO41,1,1)</f>
        <v>10</v>
      </c>
      <c r="AQ41">
        <f ca="1">OFFSET(Coastal_DDF!$F$10,0,AO41+1,1,1)</f>
        <v>11</v>
      </c>
      <c r="AR41">
        <f ca="1">OFFSET(Coastal_DDF!$F$10,AM41,AO41,1,1)</f>
        <v>20</v>
      </c>
      <c r="AS41">
        <f ca="1">OFFSET(Coastal_DDF!$F$10,AM41,AO41+1,1,1)</f>
        <v>24</v>
      </c>
      <c r="AT41">
        <f t="shared" ca="1" si="8"/>
        <v>4</v>
      </c>
      <c r="AU41">
        <f t="shared" ca="1" si="9"/>
        <v>20.143938420479998</v>
      </c>
      <c r="AV41">
        <f t="shared" ca="1" si="10"/>
        <v>319079.98458040319</v>
      </c>
      <c r="AW41">
        <f t="shared" ca="1" si="3"/>
        <v>319079.98458040319</v>
      </c>
      <c r="AX41">
        <f t="shared" si="11"/>
        <v>4.8522574051199996</v>
      </c>
      <c r="AY41">
        <f t="shared" si="4"/>
        <v>16</v>
      </c>
      <c r="AZ41">
        <f ca="1">OFFSET(Coastal_DDF!$F$10,0,AY41,1,1)</f>
        <v>4</v>
      </c>
      <c r="BA41">
        <f ca="1">OFFSET(Coastal_DDF!$F$10,0,AY41+1,1,1)</f>
        <v>5</v>
      </c>
      <c r="BB41">
        <f ca="1">OFFSET(Coastal_DDF!$F$10,AM41,AY41,1,1)</f>
        <v>9</v>
      </c>
      <c r="BC41">
        <f ca="1">OFFSET(Coastal_DDF!$F$10,AM41,AY41+1,1,1)</f>
        <v>10</v>
      </c>
      <c r="BD41">
        <f t="shared" ca="1" si="12"/>
        <v>1</v>
      </c>
      <c r="BE41">
        <f t="shared" ca="1" si="13"/>
        <v>9.8522574051199996</v>
      </c>
      <c r="BF41">
        <f t="shared" ca="1" si="14"/>
        <v>156059.75729710079</v>
      </c>
      <c r="BG41">
        <f t="shared" ca="1" si="5"/>
        <v>156059.75729710079</v>
      </c>
    </row>
    <row r="42" spans="1:59" x14ac:dyDescent="0.25">
      <c r="A42">
        <f>Inputs!A42</f>
        <v>100</v>
      </c>
      <c r="B42" t="str">
        <f>Inputs!B42</f>
        <v>NFWF-43986</v>
      </c>
      <c r="C42">
        <f>Inputs!C42</f>
        <v>1</v>
      </c>
      <c r="D42" t="str">
        <f>Inputs!D42</f>
        <v>NJ_NFWF_43986_1_0003</v>
      </c>
      <c r="E42">
        <f>Inputs!E42</f>
        <v>0</v>
      </c>
      <c r="F42">
        <f>Inputs!F42</f>
        <v>0</v>
      </c>
      <c r="G42">
        <f>Inputs!G42</f>
        <v>351.69295</v>
      </c>
      <c r="H42">
        <f>Inputs!H42</f>
        <v>3.7339370000000001</v>
      </c>
      <c r="I42">
        <f>Inputs!I42</f>
        <v>2.153937</v>
      </c>
      <c r="J42">
        <f>Inputs!J42</f>
        <v>1.58</v>
      </c>
      <c r="K42">
        <f>Inputs!K42</f>
        <v>5.125</v>
      </c>
      <c r="L42" t="str">
        <f>Inputs!L42</f>
        <v>No</v>
      </c>
      <c r="M42">
        <f>Inputs!M42</f>
        <v>0</v>
      </c>
      <c r="N42">
        <f>Inputs!N42</f>
        <v>12.25044986708</v>
      </c>
      <c r="O42">
        <f>Inputs!O42</f>
        <v>7.0667226670799996</v>
      </c>
      <c r="P42">
        <f>Inputs!P42</f>
        <v>5.1837271999999999</v>
      </c>
      <c r="Q42">
        <f>Inputs!Q42</f>
        <v>3785.5877445049996</v>
      </c>
      <c r="R42" t="str">
        <f>Inputs!R42</f>
        <v>Zillow</v>
      </c>
      <c r="S42">
        <f>Inputs!S42</f>
        <v>0</v>
      </c>
      <c r="T42">
        <f>Inputs!T42</f>
        <v>1138300</v>
      </c>
      <c r="U42">
        <f t="shared" si="15"/>
        <v>1138300</v>
      </c>
      <c r="V42">
        <f>IF(Inputs!V42=0,2020,Inputs!V42)</f>
        <v>2020</v>
      </c>
      <c r="W42">
        <f>Inputs!W42</f>
        <v>2014</v>
      </c>
      <c r="X42" t="str">
        <f>IF(Inputs!X42=0,"UNK",Inputs!X42)</f>
        <v>RES1</v>
      </c>
      <c r="Y42" t="str">
        <f>Inputs!Y42</f>
        <v>No</v>
      </c>
      <c r="Z42" t="str">
        <f>Inputs!Z42</f>
        <v>Piers</v>
      </c>
      <c r="AA42">
        <f>Inputs!AA42</f>
        <v>5866</v>
      </c>
      <c r="AB42">
        <f>IF(Z42="Piers",MIN(2,Inputs!AB42),Inputs!AB42)</f>
        <v>2</v>
      </c>
      <c r="AC42">
        <f>Inputs!AC42</f>
        <v>9</v>
      </c>
      <c r="AD42">
        <f>Inputs!AD42</f>
        <v>90.15</v>
      </c>
      <c r="AE42">
        <f>Inputs!AE42</f>
        <v>2006</v>
      </c>
      <c r="AF42">
        <f>Inputs!AF42</f>
        <v>0</v>
      </c>
      <c r="AG42">
        <f>Inputs!AG42</f>
        <v>2.66</v>
      </c>
      <c r="AH42" t="str">
        <f>Inputs!AH42</f>
        <v>https://www.zillow.com/homedetails/24-Ocean-Ave-Monmouth-Beach-NJ-07750/39341995_zpid/</v>
      </c>
      <c r="AI42" t="str">
        <f>Inputs!AI42</f>
        <v>may be a second home? Detached garage not in ZOI</v>
      </c>
      <c r="AJ42" t="str">
        <f>Inputs!AJ42</f>
        <v>24 Ocean Ave Monmoth Beach NJ</v>
      </c>
      <c r="AK42" t="str">
        <f t="shared" si="0"/>
        <v>Res</v>
      </c>
      <c r="AL42" t="s">
        <v>241</v>
      </c>
      <c r="AM42">
        <f t="shared" si="1"/>
        <v>5</v>
      </c>
      <c r="AN42">
        <f t="shared" si="7"/>
        <v>3.2504498670800004</v>
      </c>
      <c r="AO42">
        <f t="shared" si="2"/>
        <v>15</v>
      </c>
      <c r="AP42">
        <f ca="1">OFFSET(Coastal_DDF!$F$10,0,AO42,1,1)</f>
        <v>3</v>
      </c>
      <c r="AQ42">
        <f ca="1">OFFSET(Coastal_DDF!$F$10,0,AO42+1,1,1)</f>
        <v>4</v>
      </c>
      <c r="AR42">
        <f ca="1">OFFSET(Coastal_DDF!$F$10,AM42,AO42,1,1)</f>
        <v>60</v>
      </c>
      <c r="AS42">
        <f ca="1">OFFSET(Coastal_DDF!$F$10,AM42,AO42+1,1,1)</f>
        <v>65</v>
      </c>
      <c r="AT42">
        <f t="shared" ca="1" si="8"/>
        <v>5</v>
      </c>
      <c r="AU42">
        <f t="shared" ca="1" si="9"/>
        <v>61.252249335400002</v>
      </c>
      <c r="AV42">
        <f t="shared" ca="1" si="10"/>
        <v>697234.35418485815</v>
      </c>
      <c r="AW42">
        <f t="shared" ca="1" si="3"/>
        <v>697234.35418485815</v>
      </c>
      <c r="AX42">
        <f t="shared" si="11"/>
        <v>-1.9332773329200004</v>
      </c>
      <c r="AY42">
        <f t="shared" si="4"/>
        <v>8</v>
      </c>
      <c r="AZ42">
        <f ca="1">OFFSET(Coastal_DDF!$F$10,0,AY42,1,1)</f>
        <v>-2</v>
      </c>
      <c r="BA42">
        <f ca="1">OFFSET(Coastal_DDF!$F$10,0,AY42+1,1,1)</f>
        <v>-1</v>
      </c>
      <c r="BB42">
        <f ca="1">OFFSET(Coastal_DDF!$F$10,AM42,AY42,1,1)</f>
        <v>8</v>
      </c>
      <c r="BC42">
        <f ca="1">OFFSET(Coastal_DDF!$F$10,AM42,AY42+1,1,1)</f>
        <v>12</v>
      </c>
      <c r="BD42">
        <f t="shared" ca="1" si="12"/>
        <v>4</v>
      </c>
      <c r="BE42">
        <f t="shared" ca="1" si="13"/>
        <v>8.2668906683199985</v>
      </c>
      <c r="BF42">
        <f t="shared" ca="1" si="14"/>
        <v>94102.016477486541</v>
      </c>
      <c r="BG42">
        <f t="shared" ca="1" si="5"/>
        <v>94102.016477486541</v>
      </c>
    </row>
    <row r="43" spans="1:59" x14ac:dyDescent="0.25">
      <c r="A43">
        <f>Inputs!A43</f>
        <v>100</v>
      </c>
      <c r="B43" t="str">
        <f>Inputs!B43</f>
        <v>NFWF-43986</v>
      </c>
      <c r="C43">
        <f>Inputs!C43</f>
        <v>1</v>
      </c>
      <c r="D43" t="str">
        <f>Inputs!D43</f>
        <v>NJ_NFWF_43986_1_0004</v>
      </c>
      <c r="E43">
        <f>Inputs!E43</f>
        <v>2</v>
      </c>
      <c r="F43">
        <f>Inputs!F43</f>
        <v>0</v>
      </c>
      <c r="G43">
        <f>Inputs!G43</f>
        <v>705.56894699999998</v>
      </c>
      <c r="H43">
        <f>Inputs!H43</f>
        <v>3.5919560000000001</v>
      </c>
      <c r="I43">
        <f>Inputs!I43</f>
        <v>2.0119560000000001</v>
      </c>
      <c r="J43">
        <f>Inputs!J43</f>
        <v>1.58</v>
      </c>
      <c r="K43">
        <f>Inputs!K43</f>
        <v>4.7</v>
      </c>
      <c r="L43" t="str">
        <f>Inputs!L43</f>
        <v>R</v>
      </c>
      <c r="M43">
        <f>Inputs!M43</f>
        <v>0</v>
      </c>
      <c r="N43">
        <f>Inputs!N43</f>
        <v>11.78463292304</v>
      </c>
      <c r="O43">
        <f>Inputs!O43</f>
        <v>6.6009057230400003</v>
      </c>
      <c r="P43">
        <f>Inputs!P43</f>
        <v>5.1837271999999999</v>
      </c>
      <c r="Q43">
        <f>Inputs!Q43</f>
        <v>7594.6735886132992</v>
      </c>
      <c r="R43" t="str">
        <f>Inputs!R43</f>
        <v>County Property Assessor</v>
      </c>
      <c r="S43" t="str">
        <f>Inputs!S43</f>
        <v>50; 3.01</v>
      </c>
      <c r="T43">
        <f>Inputs!T43</f>
        <v>4167800</v>
      </c>
      <c r="U43">
        <f t="shared" si="15"/>
        <v>4167800</v>
      </c>
      <c r="V43">
        <f>IF(Inputs!V43=0,2020,Inputs!V43)</f>
        <v>2020</v>
      </c>
      <c r="W43">
        <f>Inputs!W43</f>
        <v>0</v>
      </c>
      <c r="X43" t="str">
        <f>IF(Inputs!X43=0,"UNK",Inputs!X43)</f>
        <v>COM8</v>
      </c>
      <c r="Y43" t="str">
        <f>Inputs!Y43</f>
        <v>Yes</v>
      </c>
      <c r="Z43" t="str">
        <f>Inputs!Z43</f>
        <v>Slab</v>
      </c>
      <c r="AA43">
        <f>Inputs!AA43</f>
        <v>10302</v>
      </c>
      <c r="AB43">
        <f>IF(Z43="Piers",MIN(2,Inputs!AB43),Inputs!AB43)</f>
        <v>2</v>
      </c>
      <c r="AC43">
        <f>Inputs!AC43</f>
        <v>1</v>
      </c>
      <c r="AD43">
        <f>Inputs!AD43</f>
        <v>170.51</v>
      </c>
      <c r="AE43">
        <f>Inputs!AE43</f>
        <v>2006</v>
      </c>
      <c r="AF43" t="str">
        <f>Inputs!AF43</f>
        <v>Based on restuarant</v>
      </c>
      <c r="AG43">
        <f>Inputs!AG43</f>
        <v>0</v>
      </c>
      <c r="AH43" t="str">
        <f>Inputs!AH43</f>
        <v>http://tax1.co.monmouth.nj.us/cgi-bin/m4.cgi?district=1334&amp;l02=133400050____00003__01_____M</v>
      </c>
      <c r="AI43" t="str">
        <f>Inputs!AI43</f>
        <v>Monmoth Beach Bathing Pavilion; current structure from 1962 with major renovations in 2007 and 2012</v>
      </c>
      <c r="AJ43" t="str">
        <f>Inputs!AJ43</f>
        <v>29 Ocean Avenue Monmoth Beach NJ</v>
      </c>
      <c r="AK43" t="str">
        <f t="shared" ref="AK43:AK74" si="16">VLOOKUP(X43,Btype,2,0)</f>
        <v>Com</v>
      </c>
      <c r="AL43" t="str">
        <f t="shared" si="6"/>
        <v>COM8</v>
      </c>
      <c r="AM43">
        <f t="shared" ref="AM43:AM74" si="17">VLOOKUP(AL43,DDFID,2,0)</f>
        <v>15</v>
      </c>
      <c r="AN43">
        <f t="shared" si="7"/>
        <v>10.78463292304</v>
      </c>
      <c r="AO43">
        <f t="shared" ref="AO43:AO74" si="18">MATCH(AN43,DDF,1)</f>
        <v>22</v>
      </c>
      <c r="AP43">
        <f ca="1">OFFSET(Coastal_DDF!$F$10,0,AO43,1,1)</f>
        <v>10</v>
      </c>
      <c r="AQ43">
        <f ca="1">OFFSET(Coastal_DDF!$F$10,0,AO43+1,1,1)</f>
        <v>11</v>
      </c>
      <c r="AR43">
        <f ca="1">OFFSET(Coastal_DDF!$F$10,AM43,AO43,1,1)</f>
        <v>24</v>
      </c>
      <c r="AS43">
        <f ca="1">OFFSET(Coastal_DDF!$F$10,AM43,AO43+1,1,1)</f>
        <v>27</v>
      </c>
      <c r="AT43">
        <f t="shared" ca="1" si="8"/>
        <v>3</v>
      </c>
      <c r="AU43">
        <f t="shared" ca="1" si="9"/>
        <v>26.353898769120001</v>
      </c>
      <c r="AV43">
        <f t="shared" ca="1" si="10"/>
        <v>1098377.7928993832</v>
      </c>
      <c r="AW43">
        <f t="shared" ref="AW43:AW74" ca="1" si="19">IF(AN43=-99,0,AV43*VLOOKUP(V43,CCI,2,FALSE))</f>
        <v>1098377.7928993832</v>
      </c>
      <c r="AX43">
        <f t="shared" si="11"/>
        <v>5.6009057230400003</v>
      </c>
      <c r="AY43">
        <f t="shared" ref="AY43:AY74" si="20">MATCH(AX43,DDF,1)</f>
        <v>17</v>
      </c>
      <c r="AZ43">
        <f ca="1">OFFSET(Coastal_DDF!$F$10,0,AY43,1,1)</f>
        <v>5</v>
      </c>
      <c r="BA43">
        <f ca="1">OFFSET(Coastal_DDF!$F$10,0,AY43+1,1,1)</f>
        <v>6</v>
      </c>
      <c r="BB43">
        <f ca="1">OFFSET(Coastal_DDF!$F$10,AM43,AY43,1,1)</f>
        <v>16</v>
      </c>
      <c r="BC43">
        <f ca="1">OFFSET(Coastal_DDF!$F$10,AM43,AY43+1,1,1)</f>
        <v>17</v>
      </c>
      <c r="BD43">
        <f t="shared" ca="1" si="12"/>
        <v>1</v>
      </c>
      <c r="BE43">
        <f t="shared" ca="1" si="13"/>
        <v>16.60090572304</v>
      </c>
      <c r="BF43">
        <f t="shared" ca="1" si="14"/>
        <v>691892.54872486112</v>
      </c>
      <c r="BG43">
        <f t="shared" ref="BG43:BG74" ca="1" si="21">IF(AX43=-99,0,BF43*VLOOKUP(V43,CCI,2,FALSE))</f>
        <v>691892.54872486112</v>
      </c>
    </row>
    <row r="44" spans="1:59" x14ac:dyDescent="0.25">
      <c r="A44">
        <f>Inputs!A44</f>
        <v>100</v>
      </c>
      <c r="B44" t="str">
        <f>Inputs!B44</f>
        <v>NFWF-43986</v>
      </c>
      <c r="C44">
        <f>Inputs!C44</f>
        <v>1</v>
      </c>
      <c r="D44" t="str">
        <f>Inputs!D44</f>
        <v>NJ_NFWF_43986_1_0005</v>
      </c>
      <c r="E44">
        <f>Inputs!E44</f>
        <v>0</v>
      </c>
      <c r="F44">
        <f>Inputs!F44</f>
        <v>0</v>
      </c>
      <c r="G44">
        <f>Inputs!G44</f>
        <v>269.944794</v>
      </c>
      <c r="H44">
        <f>Inputs!H44</f>
        <v>3.2629450000000002</v>
      </c>
      <c r="I44">
        <f>Inputs!I44</f>
        <v>1.6829449999999999</v>
      </c>
      <c r="J44">
        <f>Inputs!J44</f>
        <v>1.58</v>
      </c>
      <c r="K44">
        <f>Inputs!K44</f>
        <v>5.125</v>
      </c>
      <c r="L44" t="str">
        <f>Inputs!L44</f>
        <v>No</v>
      </c>
      <c r="M44">
        <f>Inputs!M44</f>
        <v>0</v>
      </c>
      <c r="N44">
        <f>Inputs!N44</f>
        <v>10.7052004738</v>
      </c>
      <c r="O44">
        <f>Inputs!O44</f>
        <v>5.5214732737999999</v>
      </c>
      <c r="P44">
        <f>Inputs!P44</f>
        <v>5.1837271999999999</v>
      </c>
      <c r="Q44">
        <f>Inputs!Q44</f>
        <v>2905.6587681366</v>
      </c>
      <c r="R44" t="str">
        <f>Inputs!R44</f>
        <v>Zillow</v>
      </c>
      <c r="S44" t="str">
        <f>Inputs!S44</f>
        <v>51; 1</v>
      </c>
      <c r="T44">
        <f>Inputs!T44</f>
        <v>121000</v>
      </c>
      <c r="U44">
        <f t="shared" si="15"/>
        <v>121000</v>
      </c>
      <c r="V44">
        <f>IF(Inputs!V44=0,2020,Inputs!V44)</f>
        <v>2020</v>
      </c>
      <c r="W44">
        <f>Inputs!W44</f>
        <v>1905</v>
      </c>
      <c r="X44" t="str">
        <f>IF(Inputs!X44=0,"UNK",Inputs!X44)</f>
        <v>RES1</v>
      </c>
      <c r="Y44" t="str">
        <f>Inputs!Y44</f>
        <v>No</v>
      </c>
      <c r="Z44" t="str">
        <f>Inputs!Z44</f>
        <v>Slab</v>
      </c>
      <c r="AA44">
        <f>Inputs!AA44</f>
        <v>2729</v>
      </c>
      <c r="AB44">
        <f>IF(Z44="Piers",MIN(2,Inputs!AB44),Inputs!AB44)</f>
        <v>3</v>
      </c>
      <c r="AC44">
        <f>Inputs!AC44</f>
        <v>1</v>
      </c>
      <c r="AD44">
        <f>Inputs!AD44</f>
        <v>90.15</v>
      </c>
      <c r="AE44">
        <f>Inputs!AE44</f>
        <v>2006</v>
      </c>
      <c r="AF44">
        <f>Inputs!AF44</f>
        <v>0</v>
      </c>
      <c r="AG44">
        <f>Inputs!AG44</f>
        <v>2.66</v>
      </c>
      <c r="AH44" t="str">
        <f>Inputs!AH44</f>
        <v>https://www.zillow.com/homedetails/30-Ocean-Ave-Monmouth-Beach-NJ-07750/39341990_zpid/</v>
      </c>
      <c r="AI44" t="str">
        <f>Inputs!AI44</f>
        <v>may be a second home? I think it's been renovated since 1905 (probably in 2003 when it last sold); detached garage not in ZOI</v>
      </c>
      <c r="AJ44" t="str">
        <f>Inputs!AJ44</f>
        <v>30 Ocean Ave Monmoth Beach NJ</v>
      </c>
      <c r="AK44" t="str">
        <f t="shared" si="16"/>
        <v>Res</v>
      </c>
      <c r="AL44" t="str">
        <f t="shared" si="6"/>
        <v>RES1.3.Slab</v>
      </c>
      <c r="AM44">
        <f t="shared" si="17"/>
        <v>26</v>
      </c>
      <c r="AN44">
        <f t="shared" si="7"/>
        <v>9.7052004737999997</v>
      </c>
      <c r="AO44">
        <f t="shared" si="18"/>
        <v>21</v>
      </c>
      <c r="AP44">
        <f ca="1">OFFSET(Coastal_DDF!$F$10,0,AO44,1,1)</f>
        <v>9</v>
      </c>
      <c r="AQ44">
        <f ca="1">OFFSET(Coastal_DDF!$F$10,0,AO44+1,1,1)</f>
        <v>10</v>
      </c>
      <c r="AR44">
        <f ca="1">OFFSET(Coastal_DDF!$F$10,AM44,AO44,1,1)</f>
        <v>17</v>
      </c>
      <c r="AS44">
        <f ca="1">OFFSET(Coastal_DDF!$F$10,AM44,AO44+1,1,1)</f>
        <v>20</v>
      </c>
      <c r="AT44">
        <f t="shared" ca="1" si="8"/>
        <v>3</v>
      </c>
      <c r="AU44">
        <f t="shared" ca="1" si="9"/>
        <v>19.115601421400001</v>
      </c>
      <c r="AV44">
        <f t="shared" ca="1" si="10"/>
        <v>23129.877719894001</v>
      </c>
      <c r="AW44">
        <f t="shared" ca="1" si="19"/>
        <v>23129.877719894001</v>
      </c>
      <c r="AX44">
        <f t="shared" si="11"/>
        <v>4.5214732737999999</v>
      </c>
      <c r="AY44">
        <f t="shared" si="20"/>
        <v>16</v>
      </c>
      <c r="AZ44">
        <f ca="1">OFFSET(Coastal_DDF!$F$10,0,AY44,1,1)</f>
        <v>4</v>
      </c>
      <c r="BA44">
        <f ca="1">OFFSET(Coastal_DDF!$F$10,0,AY44+1,1,1)</f>
        <v>5</v>
      </c>
      <c r="BB44">
        <f ca="1">OFFSET(Coastal_DDF!$F$10,AM44,AY44,1,1)</f>
        <v>9</v>
      </c>
      <c r="BC44">
        <f ca="1">OFFSET(Coastal_DDF!$F$10,AM44,AY44+1,1,1)</f>
        <v>10</v>
      </c>
      <c r="BD44">
        <f t="shared" ca="1" si="12"/>
        <v>1</v>
      </c>
      <c r="BE44">
        <f t="shared" ca="1" si="13"/>
        <v>9.5214732737999999</v>
      </c>
      <c r="BF44">
        <f t="shared" ca="1" si="14"/>
        <v>11520.982661298001</v>
      </c>
      <c r="BG44">
        <f t="shared" ca="1" si="21"/>
        <v>11520.982661298001</v>
      </c>
    </row>
    <row r="45" spans="1:59" x14ac:dyDescent="0.25">
      <c r="A45">
        <f>Inputs!A45</f>
        <v>2</v>
      </c>
      <c r="B45" t="str">
        <f>Inputs!B45</f>
        <v>NFWF-43429</v>
      </c>
      <c r="C45">
        <f>Inputs!C45</f>
        <v>2</v>
      </c>
      <c r="D45" t="str">
        <f>Inputs!D45</f>
        <v>NJ_NFWF_43429_2_0001</v>
      </c>
      <c r="E45">
        <f>Inputs!E45</f>
        <v>13</v>
      </c>
      <c r="F45">
        <f>Inputs!F45</f>
        <v>0</v>
      </c>
      <c r="G45">
        <f>Inputs!G45</f>
        <v>124.80501099999999</v>
      </c>
      <c r="H45">
        <f>Inputs!H45</f>
        <v>0.19342899999999999</v>
      </c>
      <c r="I45">
        <f>Inputs!I45</f>
        <v>1.4234290000000001</v>
      </c>
      <c r="J45">
        <f>Inputs!J45</f>
        <v>-1.23</v>
      </c>
      <c r="K45">
        <f>Inputs!K45</f>
        <v>4.9000000000000004</v>
      </c>
      <c r="L45" t="str">
        <f>Inputs!L45</f>
        <v>C</v>
      </c>
      <c r="M45">
        <f>Inputs!M45</f>
        <v>0</v>
      </c>
      <c r="N45">
        <f>Inputs!N45</f>
        <v>0.63460960035999991</v>
      </c>
      <c r="O45">
        <f>Inputs!O45</f>
        <v>4.6700428003600001</v>
      </c>
      <c r="P45">
        <f>Inputs!P45</f>
        <v>-4.0354331999999999</v>
      </c>
      <c r="Q45">
        <f>Inputs!Q45</f>
        <v>1343.3886579028999</v>
      </c>
      <c r="R45" t="str">
        <f>Inputs!R45</f>
        <v>County Property Assessor</v>
      </c>
      <c r="S45" t="str">
        <f>Inputs!S45</f>
        <v>0604; 59; 49</v>
      </c>
      <c r="T45">
        <f>Inputs!T45</f>
        <v>46100</v>
      </c>
      <c r="U45">
        <f>Inputs!U45</f>
        <v>124720.20299970523</v>
      </c>
      <c r="V45">
        <f>IF(Inputs!V45=0,2020,Inputs!V45)</f>
        <v>2020</v>
      </c>
      <c r="W45">
        <f>Inputs!W45</f>
        <v>0</v>
      </c>
      <c r="X45" t="str">
        <f>IF(Inputs!X45=0,"UNK",Inputs!X45)</f>
        <v>RES1</v>
      </c>
      <c r="Y45" t="str">
        <f>Inputs!Y45</f>
        <v>No</v>
      </c>
      <c r="Z45" t="str">
        <f>Inputs!Z45</f>
        <v>Slab</v>
      </c>
      <c r="AA45">
        <f>Inputs!AA45</f>
        <v>1343.3886579028999</v>
      </c>
      <c r="AB45">
        <f>IF(Z45="Piers",MIN(2,Inputs!AB45),Inputs!AB45)</f>
        <v>1</v>
      </c>
      <c r="AC45">
        <f>Inputs!AC45</f>
        <v>1</v>
      </c>
      <c r="AD45">
        <f>Inputs!AD45</f>
        <v>92.84</v>
      </c>
      <c r="AE45">
        <f>Inputs!AE45</f>
        <v>2006</v>
      </c>
      <c r="AF45">
        <f>Inputs!AF45</f>
        <v>0</v>
      </c>
      <c r="AG45">
        <f>Inputs!AG45</f>
        <v>2.79</v>
      </c>
      <c r="AH45" t="str">
        <f>Inputs!AH45</f>
        <v>http://tax1.co.monmouth.nj.us/cgi-bin/m4.cgi?district=0604&amp;l02=060400059____00049_________M</v>
      </c>
      <c r="AI45" t="str">
        <f>Inputs!AI45</f>
        <v>probably a second home</v>
      </c>
      <c r="AJ45" t="str">
        <f>Inputs!AJ45</f>
        <v>170 Dyers Creek Rd Newport, NJ 08345</v>
      </c>
      <c r="AK45" t="str">
        <f t="shared" si="16"/>
        <v>Res</v>
      </c>
      <c r="AL45" t="str">
        <f t="shared" si="6"/>
        <v>RES1.1.Slab</v>
      </c>
      <c r="AM45">
        <f t="shared" si="17"/>
        <v>1</v>
      </c>
      <c r="AN45">
        <f t="shared" si="7"/>
        <v>-0.36539039964000009</v>
      </c>
      <c r="AO45">
        <f t="shared" si="18"/>
        <v>10</v>
      </c>
      <c r="AP45">
        <f ca="1">OFFSET(Coastal_DDF!$F$10,0,AO45,1,1)</f>
        <v>-0.5</v>
      </c>
      <c r="AQ45">
        <f ca="1">OFFSET(Coastal_DDF!$F$10,0,AO45+1,1,1)</f>
        <v>0</v>
      </c>
      <c r="AR45">
        <f ca="1">OFFSET(Coastal_DDF!$F$10,AM45,AO45,1,1)</f>
        <v>0</v>
      </c>
      <c r="AS45">
        <f ca="1">OFFSET(Coastal_DDF!$F$10,AM45,AO45+1,1,1)</f>
        <v>1</v>
      </c>
      <c r="AT45">
        <f t="shared" ca="1" si="8"/>
        <v>2</v>
      </c>
      <c r="AU45">
        <f t="shared" ca="1" si="9"/>
        <v>0.26921920071999983</v>
      </c>
      <c r="AV45">
        <f t="shared" ca="1" si="10"/>
        <v>335.77073365216768</v>
      </c>
      <c r="AW45">
        <f t="shared" ca="1" si="19"/>
        <v>335.77073365216768</v>
      </c>
      <c r="AX45">
        <f t="shared" si="11"/>
        <v>3.6700428003600001</v>
      </c>
      <c r="AY45">
        <f t="shared" si="20"/>
        <v>15</v>
      </c>
      <c r="AZ45">
        <f ca="1">OFFSET(Coastal_DDF!$F$10,0,AY45,1,1)</f>
        <v>3</v>
      </c>
      <c r="BA45">
        <f ca="1">OFFSET(Coastal_DDF!$F$10,0,AY45+1,1,1)</f>
        <v>4</v>
      </c>
      <c r="BB45">
        <f ca="1">OFFSET(Coastal_DDF!$F$10,AM45,AY45,1,1)</f>
        <v>33</v>
      </c>
      <c r="BC45">
        <f ca="1">OFFSET(Coastal_DDF!$F$10,AM45,AY45+1,1,1)</f>
        <v>37.5</v>
      </c>
      <c r="BD45">
        <f t="shared" ca="1" si="12"/>
        <v>4.5</v>
      </c>
      <c r="BE45">
        <f t="shared" ca="1" si="13"/>
        <v>36.015192601620001</v>
      </c>
      <c r="BF45">
        <f t="shared" ca="1" si="14"/>
        <v>44918.221323475285</v>
      </c>
      <c r="BG45">
        <f t="shared" ca="1" si="21"/>
        <v>44918.221323475285</v>
      </c>
    </row>
    <row r="46" spans="1:59" x14ac:dyDescent="0.25">
      <c r="A46">
        <f>Inputs!A46</f>
        <v>2</v>
      </c>
      <c r="B46" t="str">
        <f>Inputs!B46</f>
        <v>NFWF-44225</v>
      </c>
      <c r="C46">
        <f>Inputs!C46</f>
        <v>2</v>
      </c>
      <c r="D46" t="str">
        <f>Inputs!D46</f>
        <v>NY_NFWF_44225_2_0001</v>
      </c>
      <c r="E46">
        <f>Inputs!E46</f>
        <v>9</v>
      </c>
      <c r="F46">
        <f>Inputs!F46</f>
        <v>0</v>
      </c>
      <c r="G46">
        <f>Inputs!G46</f>
        <v>170.363542</v>
      </c>
      <c r="H46">
        <f>Inputs!H46</f>
        <v>8.7900000000000006E-2</v>
      </c>
      <c r="I46">
        <f>Inputs!I46</f>
        <v>-0.58209999999999995</v>
      </c>
      <c r="J46">
        <f>Inputs!J46</f>
        <v>8.7900000000000006E-2</v>
      </c>
      <c r="K46">
        <f>Inputs!K46</f>
        <v>1.62</v>
      </c>
      <c r="L46" t="str">
        <f>Inputs!L46</f>
        <v>C</v>
      </c>
      <c r="M46">
        <f>Inputs!M46</f>
        <v>0</v>
      </c>
      <c r="N46">
        <f>Inputs!N46</f>
        <v>0.28838583600000001</v>
      </c>
      <c r="O46">
        <f>Inputs!O46</f>
        <v>-1.9097769639999997</v>
      </c>
      <c r="P46">
        <f>Inputs!P46</f>
        <v>0.28838583600000001</v>
      </c>
      <c r="Q46">
        <f>Inputs!Q46</f>
        <v>1833.7761297338</v>
      </c>
      <c r="R46" t="str">
        <f>Inputs!R46</f>
        <v>New York, Low Estimate: https://ccorpinsights.com/costs-per-square-foot/</v>
      </c>
      <c r="S46">
        <f>Inputs!S46</f>
        <v>0</v>
      </c>
      <c r="T46">
        <f>Inputs!T46</f>
        <v>0</v>
      </c>
      <c r="U46">
        <f>Inputs!U46</f>
        <v>330629.83619100414</v>
      </c>
      <c r="V46">
        <f>IF(Inputs!V46=0,2020,Inputs!V46)</f>
        <v>2006</v>
      </c>
      <c r="W46">
        <f>Inputs!W46</f>
        <v>0</v>
      </c>
      <c r="X46" t="str">
        <f>IF(Inputs!X46=0,"UNK",Inputs!X46)</f>
        <v>RES1</v>
      </c>
      <c r="Y46" t="str">
        <f>Inputs!Y46</f>
        <v>No</v>
      </c>
      <c r="Z46" t="str">
        <f>Inputs!Z46</f>
        <v>Slab</v>
      </c>
      <c r="AA46">
        <f>Inputs!AA46</f>
        <v>3667.5522594675999</v>
      </c>
      <c r="AB46">
        <f>IF(Z46="Piers",MIN(2,Inputs!AB46),Inputs!AB46)</f>
        <v>2</v>
      </c>
      <c r="AC46">
        <f>Inputs!AC46</f>
        <v>1</v>
      </c>
      <c r="AD46">
        <f>Inputs!AD46</f>
        <v>90.15</v>
      </c>
      <c r="AE46">
        <f>Inputs!AE46</f>
        <v>2006</v>
      </c>
      <c r="AF46">
        <f>Inputs!AF46</f>
        <v>0</v>
      </c>
      <c r="AG46">
        <f>Inputs!AG46</f>
        <v>2.93</v>
      </c>
      <c r="AH46" t="str">
        <f>Inputs!AH46</f>
        <v>https://jeremynative.com/onthissite/</v>
      </c>
      <c r="AI46" t="str">
        <f>Inputs!AI46</f>
        <v>Shinnecock Reservation - no property information available; Assumed residential because not identified as otherwise on reservation run map</v>
      </c>
      <c r="AJ46">
        <f>Inputs!AJ46</f>
        <v>0</v>
      </c>
      <c r="AK46" t="str">
        <f t="shared" si="16"/>
        <v>Res</v>
      </c>
      <c r="AL46" t="str">
        <f t="shared" si="6"/>
        <v>RES1.2.Slab</v>
      </c>
      <c r="AM46">
        <f t="shared" si="17"/>
        <v>2</v>
      </c>
      <c r="AN46">
        <f t="shared" si="7"/>
        <v>-0.71161416399999999</v>
      </c>
      <c r="AO46">
        <f t="shared" si="18"/>
        <v>9</v>
      </c>
      <c r="AP46">
        <f ca="1">OFFSET(Coastal_DDF!$F$10,0,AO46,1,1)</f>
        <v>-1</v>
      </c>
      <c r="AQ46">
        <f ca="1">OFFSET(Coastal_DDF!$F$10,0,AO46+1,1,1)</f>
        <v>-0.5</v>
      </c>
      <c r="AR46">
        <f ca="1">OFFSET(Coastal_DDF!$F$10,AM46,AO46,1,1)</f>
        <v>0</v>
      </c>
      <c r="AS46">
        <f ca="1">OFFSET(Coastal_DDF!$F$10,AM46,AO46+1,1,1)</f>
        <v>1</v>
      </c>
      <c r="AT46">
        <f t="shared" ca="1" si="8"/>
        <v>2</v>
      </c>
      <c r="AU46">
        <f t="shared" ca="1" si="9"/>
        <v>0.57677167200000001</v>
      </c>
      <c r="AV46">
        <f t="shared" ca="1" si="10"/>
        <v>1906.9792343297156</v>
      </c>
      <c r="AW46">
        <f t="shared" ca="1" si="19"/>
        <v>2465.874984504032</v>
      </c>
      <c r="AX46">
        <f t="shared" si="11"/>
        <v>-99</v>
      </c>
      <c r="AY46" t="e">
        <f t="shared" si="20"/>
        <v>#N/A</v>
      </c>
      <c r="AZ46" t="e">
        <f ca="1">OFFSET(Coastal_DDF!$F$10,0,AY46,1,1)</f>
        <v>#N/A</v>
      </c>
      <c r="BA46" t="e">
        <f ca="1">OFFSET(Coastal_DDF!$F$10,0,AY46+1,1,1)</f>
        <v>#N/A</v>
      </c>
      <c r="BB46" t="e">
        <f ca="1">OFFSET(Coastal_DDF!$F$10,AM46,AY46,1,1)</f>
        <v>#N/A</v>
      </c>
      <c r="BC46" t="e">
        <f ca="1">OFFSET(Coastal_DDF!$F$10,AM46,AY46+1,1,1)</f>
        <v>#N/A</v>
      </c>
      <c r="BD46" t="e">
        <f t="shared" ca="1" si="12"/>
        <v>#N/A</v>
      </c>
      <c r="BE46" t="e">
        <f t="shared" ca="1" si="13"/>
        <v>#N/A</v>
      </c>
      <c r="BF46" t="e">
        <f t="shared" ca="1" si="14"/>
        <v>#N/A</v>
      </c>
      <c r="BG46">
        <f t="shared" si="21"/>
        <v>0</v>
      </c>
    </row>
    <row r="47" spans="1:59" x14ac:dyDescent="0.25">
      <c r="A47">
        <f>Inputs!A47</f>
        <v>2</v>
      </c>
      <c r="B47" t="str">
        <f>Inputs!B47</f>
        <v>NFWF-44225</v>
      </c>
      <c r="C47">
        <f>Inputs!C47</f>
        <v>2</v>
      </c>
      <c r="D47" t="str">
        <f>Inputs!D47</f>
        <v>NY_NFWF_44225_2_0002</v>
      </c>
      <c r="E47">
        <f>Inputs!E47</f>
        <v>9</v>
      </c>
      <c r="F47">
        <f>Inputs!F47</f>
        <v>0</v>
      </c>
      <c r="G47">
        <f>Inputs!G47</f>
        <v>136.25118599999999</v>
      </c>
      <c r="H47">
        <f>Inputs!H47</f>
        <v>9.3864000000000003E-2</v>
      </c>
      <c r="I47">
        <f>Inputs!I47</f>
        <v>-0.55476400000000003</v>
      </c>
      <c r="J47">
        <f>Inputs!J47</f>
        <v>9.3864000000000003E-2</v>
      </c>
      <c r="K47">
        <f>Inputs!K47</f>
        <v>1.62</v>
      </c>
      <c r="L47" t="str">
        <f>Inputs!L47</f>
        <v>C</v>
      </c>
      <c r="M47">
        <f>Inputs!M47</f>
        <v>0</v>
      </c>
      <c r="N47">
        <f>Inputs!N47</f>
        <v>0.30795276576000002</v>
      </c>
      <c r="O47">
        <f>Inputs!O47</f>
        <v>-1.82009192176</v>
      </c>
      <c r="P47">
        <f>Inputs!P47</f>
        <v>0.30795276576000002</v>
      </c>
      <c r="Q47">
        <f>Inputs!Q47</f>
        <v>1466.5941409853999</v>
      </c>
      <c r="R47" t="str">
        <f>Inputs!R47</f>
        <v>New York, Low Estimate: https://ccorpinsights.com/costs-per-square-foot/</v>
      </c>
      <c r="S47">
        <f>Inputs!S47</f>
        <v>0</v>
      </c>
      <c r="T47">
        <f>Inputs!T47</f>
        <v>0</v>
      </c>
      <c r="U47">
        <f>Inputs!U47</f>
        <v>264426.92361966765</v>
      </c>
      <c r="V47">
        <f>IF(Inputs!V47=0,2020,Inputs!V47)</f>
        <v>2006</v>
      </c>
      <c r="W47">
        <f>Inputs!W47</f>
        <v>0</v>
      </c>
      <c r="X47" t="str">
        <f>IF(Inputs!X47=0,"UNK",Inputs!X47)</f>
        <v>RES1</v>
      </c>
      <c r="Y47" t="str">
        <f>Inputs!Y47</f>
        <v>No</v>
      </c>
      <c r="Z47" t="str">
        <f>Inputs!Z47</f>
        <v>Slab</v>
      </c>
      <c r="AA47">
        <f>Inputs!AA47</f>
        <v>2933.1882819707998</v>
      </c>
      <c r="AB47">
        <f>IF(Z47="Piers",MIN(2,Inputs!AB47),Inputs!AB47)</f>
        <v>2</v>
      </c>
      <c r="AC47">
        <f>Inputs!AC47</f>
        <v>1</v>
      </c>
      <c r="AD47">
        <f>Inputs!AD47</f>
        <v>90.15</v>
      </c>
      <c r="AE47">
        <f>Inputs!AE47</f>
        <v>2006</v>
      </c>
      <c r="AF47">
        <f>Inputs!AF47</f>
        <v>0</v>
      </c>
      <c r="AG47">
        <f>Inputs!AG47</f>
        <v>2.93</v>
      </c>
      <c r="AH47" t="str">
        <f>Inputs!AH47</f>
        <v>https://jeremynative.com/onthissite/</v>
      </c>
      <c r="AI47" t="str">
        <f>Inputs!AI47</f>
        <v>Shinnecock Reservation - no property information available; Assumed residential because not identified as otherwise on reservation run map</v>
      </c>
      <c r="AJ47">
        <f>Inputs!AJ47</f>
        <v>0</v>
      </c>
      <c r="AK47" t="str">
        <f t="shared" si="16"/>
        <v>Res</v>
      </c>
      <c r="AL47" t="str">
        <f t="shared" si="6"/>
        <v>RES1.2.Slab</v>
      </c>
      <c r="AM47">
        <f t="shared" si="17"/>
        <v>2</v>
      </c>
      <c r="AN47">
        <f t="shared" si="7"/>
        <v>-0.69204723423999992</v>
      </c>
      <c r="AO47">
        <f t="shared" si="18"/>
        <v>9</v>
      </c>
      <c r="AP47">
        <f ca="1">OFFSET(Coastal_DDF!$F$10,0,AO47,1,1)</f>
        <v>-1</v>
      </c>
      <c r="AQ47">
        <f ca="1">OFFSET(Coastal_DDF!$F$10,0,AO47+1,1,1)</f>
        <v>-0.5</v>
      </c>
      <c r="AR47">
        <f ca="1">OFFSET(Coastal_DDF!$F$10,AM47,AO47,1,1)</f>
        <v>0</v>
      </c>
      <c r="AS47">
        <f ca="1">OFFSET(Coastal_DDF!$F$10,AM47,AO47+1,1,1)</f>
        <v>1</v>
      </c>
      <c r="AT47">
        <f t="shared" ca="1" si="8"/>
        <v>2</v>
      </c>
      <c r="AU47">
        <f t="shared" ca="1" si="9"/>
        <v>0.61590553152000016</v>
      </c>
      <c r="AV47">
        <f t="shared" ca="1" si="10"/>
        <v>1628.6200494016989</v>
      </c>
      <c r="AW47">
        <f t="shared" ca="1" si="19"/>
        <v>2105.9345412814341</v>
      </c>
      <c r="AX47">
        <f t="shared" si="11"/>
        <v>-99</v>
      </c>
      <c r="AY47" t="e">
        <f t="shared" si="20"/>
        <v>#N/A</v>
      </c>
      <c r="AZ47" t="e">
        <f ca="1">OFFSET(Coastal_DDF!$F$10,0,AY47,1,1)</f>
        <v>#N/A</v>
      </c>
      <c r="BA47" t="e">
        <f ca="1">OFFSET(Coastal_DDF!$F$10,0,AY47+1,1,1)</f>
        <v>#N/A</v>
      </c>
      <c r="BB47" t="e">
        <f ca="1">OFFSET(Coastal_DDF!$F$10,AM47,AY47,1,1)</f>
        <v>#N/A</v>
      </c>
      <c r="BC47" t="e">
        <f ca="1">OFFSET(Coastal_DDF!$F$10,AM47,AY47+1,1,1)</f>
        <v>#N/A</v>
      </c>
      <c r="BD47" t="e">
        <f t="shared" ca="1" si="12"/>
        <v>#N/A</v>
      </c>
      <c r="BE47" t="e">
        <f t="shared" ca="1" si="13"/>
        <v>#N/A</v>
      </c>
      <c r="BF47" t="e">
        <f t="shared" ca="1" si="14"/>
        <v>#N/A</v>
      </c>
      <c r="BG47">
        <f t="shared" si="21"/>
        <v>0</v>
      </c>
    </row>
    <row r="48" spans="1:59" x14ac:dyDescent="0.25">
      <c r="A48">
        <f>Inputs!A48</f>
        <v>2</v>
      </c>
      <c r="B48" t="str">
        <f>Inputs!B48</f>
        <v>NFWF-44225</v>
      </c>
      <c r="C48">
        <f>Inputs!C48</f>
        <v>2</v>
      </c>
      <c r="D48" t="str">
        <f>Inputs!D48</f>
        <v>NY_NFWF_44225_2_0003</v>
      </c>
      <c r="E48">
        <f>Inputs!E48</f>
        <v>9</v>
      </c>
      <c r="F48">
        <f>Inputs!F48</f>
        <v>0</v>
      </c>
      <c r="G48">
        <f>Inputs!G48</f>
        <v>98.425234000000003</v>
      </c>
      <c r="H48">
        <f>Inputs!H48</f>
        <v>0.198569</v>
      </c>
      <c r="I48">
        <f>Inputs!I48</f>
        <v>-0.46143099999999998</v>
      </c>
      <c r="J48">
        <f>Inputs!J48</f>
        <v>0.198569</v>
      </c>
      <c r="K48">
        <f>Inputs!K48</f>
        <v>1.62</v>
      </c>
      <c r="L48" t="str">
        <f>Inputs!L48</f>
        <v>C</v>
      </c>
      <c r="M48">
        <f>Inputs!M48</f>
        <v>0</v>
      </c>
      <c r="N48">
        <f>Inputs!N48</f>
        <v>0.65147311795999996</v>
      </c>
      <c r="O48">
        <f>Inputs!O48</f>
        <v>-1.5138812820399998</v>
      </c>
      <c r="P48">
        <f>Inputs!P48</f>
        <v>0.65147311795999996</v>
      </c>
      <c r="Q48">
        <f>Inputs!Q48</f>
        <v>1059.4393762525999</v>
      </c>
      <c r="R48" t="str">
        <f>Inputs!R48</f>
        <v>New York, Low Estimate: https://ccorpinsights.com/costs-per-square-foot/</v>
      </c>
      <c r="S48">
        <f>Inputs!S48</f>
        <v>0</v>
      </c>
      <c r="T48">
        <f>Inputs!T48</f>
        <v>0</v>
      </c>
      <c r="U48">
        <f>Inputs!U48</f>
        <v>98358.351691291376</v>
      </c>
      <c r="V48">
        <f>IF(Inputs!V48=0,2020,Inputs!V48)</f>
        <v>2006</v>
      </c>
      <c r="W48">
        <f>Inputs!W48</f>
        <v>0</v>
      </c>
      <c r="X48" t="str">
        <f>IF(Inputs!X48=0,"UNK",Inputs!X48)</f>
        <v>RES1</v>
      </c>
      <c r="Y48" t="str">
        <f>Inputs!Y48</f>
        <v>No</v>
      </c>
      <c r="Z48" t="str">
        <f>Inputs!Z48</f>
        <v>Slab</v>
      </c>
      <c r="AA48">
        <f>Inputs!AA48</f>
        <v>1059.4393762525999</v>
      </c>
      <c r="AB48">
        <f>IF(Z48="Piers",MIN(2,Inputs!AB48),Inputs!AB48)</f>
        <v>1</v>
      </c>
      <c r="AC48">
        <f>Inputs!AC48</f>
        <v>1</v>
      </c>
      <c r="AD48">
        <f>Inputs!AD48</f>
        <v>92.84</v>
      </c>
      <c r="AE48">
        <f>Inputs!AE48</f>
        <v>2006</v>
      </c>
      <c r="AF48">
        <f>Inputs!AF48</f>
        <v>0</v>
      </c>
      <c r="AG48">
        <f>Inputs!AG48</f>
        <v>2.93</v>
      </c>
      <c r="AH48" t="str">
        <f>Inputs!AH48</f>
        <v>https://jeremynative.com/onthissite/</v>
      </c>
      <c r="AI48" t="str">
        <f>Inputs!AI48</f>
        <v>Shinnecock Reservation - no property information available; Assumed residential because not identified as otherwise on reservation run map</v>
      </c>
      <c r="AJ48">
        <f>Inputs!AJ48</f>
        <v>0</v>
      </c>
      <c r="AK48" t="str">
        <f t="shared" si="16"/>
        <v>Res</v>
      </c>
      <c r="AL48" t="str">
        <f t="shared" si="6"/>
        <v>RES1.1.Slab</v>
      </c>
      <c r="AM48">
        <f t="shared" si="17"/>
        <v>1</v>
      </c>
      <c r="AN48">
        <f t="shared" si="7"/>
        <v>-0.34852688204000004</v>
      </c>
      <c r="AO48">
        <f t="shared" si="18"/>
        <v>10</v>
      </c>
      <c r="AP48">
        <f ca="1">OFFSET(Coastal_DDF!$F$10,0,AO48,1,1)</f>
        <v>-0.5</v>
      </c>
      <c r="AQ48">
        <f ca="1">OFFSET(Coastal_DDF!$F$10,0,AO48+1,1,1)</f>
        <v>0</v>
      </c>
      <c r="AR48">
        <f ca="1">OFFSET(Coastal_DDF!$F$10,AM48,AO48,1,1)</f>
        <v>0</v>
      </c>
      <c r="AS48">
        <f ca="1">OFFSET(Coastal_DDF!$F$10,AM48,AO48+1,1,1)</f>
        <v>1</v>
      </c>
      <c r="AT48">
        <f t="shared" ca="1" si="8"/>
        <v>2</v>
      </c>
      <c r="AU48">
        <f t="shared" ca="1" si="9"/>
        <v>0.30294623591999992</v>
      </c>
      <c r="AV48">
        <f t="shared" ca="1" si="10"/>
        <v>297.9729241617228</v>
      </c>
      <c r="AW48">
        <f t="shared" ca="1" si="19"/>
        <v>385.30255942098478</v>
      </c>
      <c r="AX48">
        <f t="shared" si="11"/>
        <v>-99</v>
      </c>
      <c r="AY48" t="e">
        <f t="shared" si="20"/>
        <v>#N/A</v>
      </c>
      <c r="AZ48" t="e">
        <f ca="1">OFFSET(Coastal_DDF!$F$10,0,AY48,1,1)</f>
        <v>#N/A</v>
      </c>
      <c r="BA48" t="e">
        <f ca="1">OFFSET(Coastal_DDF!$F$10,0,AY48+1,1,1)</f>
        <v>#N/A</v>
      </c>
      <c r="BB48" t="e">
        <f ca="1">OFFSET(Coastal_DDF!$F$10,AM48,AY48,1,1)</f>
        <v>#N/A</v>
      </c>
      <c r="BC48" t="e">
        <f ca="1">OFFSET(Coastal_DDF!$F$10,AM48,AY48+1,1,1)</f>
        <v>#N/A</v>
      </c>
      <c r="BD48" t="e">
        <f t="shared" ca="1" si="12"/>
        <v>#N/A</v>
      </c>
      <c r="BE48" t="e">
        <f t="shared" ca="1" si="13"/>
        <v>#N/A</v>
      </c>
      <c r="BF48" t="e">
        <f t="shared" ca="1" si="14"/>
        <v>#N/A</v>
      </c>
      <c r="BG48">
        <f t="shared" si="21"/>
        <v>0</v>
      </c>
    </row>
    <row r="49" spans="1:59" x14ac:dyDescent="0.25">
      <c r="A49">
        <f>Inputs!A49</f>
        <v>20</v>
      </c>
      <c r="B49" t="str">
        <f>Inputs!B49</f>
        <v>NFWF-44225</v>
      </c>
      <c r="C49">
        <f>Inputs!C49</f>
        <v>2</v>
      </c>
      <c r="D49" t="str">
        <f>Inputs!D49</f>
        <v>NY_NFWF_44225_2_0001</v>
      </c>
      <c r="E49">
        <f>Inputs!E49</f>
        <v>9</v>
      </c>
      <c r="F49">
        <f>Inputs!F49</f>
        <v>0</v>
      </c>
      <c r="G49">
        <f>Inputs!G49</f>
        <v>170.363542</v>
      </c>
      <c r="H49">
        <f>Inputs!H49</f>
        <v>1.1029</v>
      </c>
      <c r="I49">
        <f>Inputs!I49</f>
        <v>0.4929</v>
      </c>
      <c r="J49">
        <f>Inputs!J49</f>
        <v>0.61</v>
      </c>
      <c r="K49">
        <f>Inputs!K49</f>
        <v>1.62</v>
      </c>
      <c r="L49" t="str">
        <f>Inputs!L49</f>
        <v>C</v>
      </c>
      <c r="M49">
        <f>Inputs!M49</f>
        <v>0</v>
      </c>
      <c r="N49">
        <f>Inputs!N49</f>
        <v>3.6184384359999999</v>
      </c>
      <c r="O49">
        <f>Inputs!O49</f>
        <v>1.6171260359999999</v>
      </c>
      <c r="P49">
        <f>Inputs!P49</f>
        <v>2.0013123999999998</v>
      </c>
      <c r="Q49">
        <f>Inputs!Q49</f>
        <v>1833.7761297338</v>
      </c>
      <c r="R49" t="str">
        <f>Inputs!R49</f>
        <v>New York, Low Estimate: https://ccorpinsights.com/costs-per-square-foot/</v>
      </c>
      <c r="S49">
        <f>Inputs!S49</f>
        <v>0</v>
      </c>
      <c r="T49">
        <f>Inputs!T49</f>
        <v>0</v>
      </c>
      <c r="U49">
        <f>Inputs!U49</f>
        <v>330629.83619100414</v>
      </c>
      <c r="V49">
        <f>IF(Inputs!V49=0,2020,Inputs!V49)</f>
        <v>2006</v>
      </c>
      <c r="W49">
        <f>Inputs!W49</f>
        <v>0</v>
      </c>
      <c r="X49" t="str">
        <f>IF(Inputs!X49=0,"UNK",Inputs!X49)</f>
        <v>RES1</v>
      </c>
      <c r="Y49" t="str">
        <f>Inputs!Y49</f>
        <v>No</v>
      </c>
      <c r="Z49" t="str">
        <f>Inputs!Z49</f>
        <v>Slab</v>
      </c>
      <c r="AA49">
        <f>Inputs!AA49</f>
        <v>3667.5522594675999</v>
      </c>
      <c r="AB49">
        <f>IF(Z49="Piers",MIN(2,Inputs!AB49),Inputs!AB49)</f>
        <v>2</v>
      </c>
      <c r="AC49">
        <f>Inputs!AC49</f>
        <v>1</v>
      </c>
      <c r="AD49">
        <f>Inputs!AD49</f>
        <v>90.15</v>
      </c>
      <c r="AE49">
        <f>Inputs!AE49</f>
        <v>2006</v>
      </c>
      <c r="AF49">
        <f>Inputs!AF49</f>
        <v>0</v>
      </c>
      <c r="AG49">
        <f>Inputs!AG49</f>
        <v>2.93</v>
      </c>
      <c r="AH49" t="str">
        <f>Inputs!AH49</f>
        <v>https://jeremynative.com/onthissite/</v>
      </c>
      <c r="AI49" t="str">
        <f>Inputs!AI49</f>
        <v>Shinnecock Reservation - no property information available; Assumed residential because not identified as otherwise on reservation run map</v>
      </c>
      <c r="AJ49">
        <f>Inputs!AJ49</f>
        <v>0</v>
      </c>
      <c r="AK49" t="str">
        <f t="shared" si="16"/>
        <v>Res</v>
      </c>
      <c r="AL49" t="str">
        <f t="shared" si="6"/>
        <v>RES1.2.Slab</v>
      </c>
      <c r="AM49">
        <f t="shared" si="17"/>
        <v>2</v>
      </c>
      <c r="AN49">
        <f t="shared" si="7"/>
        <v>2.6184384359999999</v>
      </c>
      <c r="AO49">
        <f t="shared" si="18"/>
        <v>14</v>
      </c>
      <c r="AP49">
        <f ca="1">OFFSET(Coastal_DDF!$F$10,0,AO49,1,1)</f>
        <v>2</v>
      </c>
      <c r="AQ49">
        <f ca="1">OFFSET(Coastal_DDF!$F$10,0,AO49+1,1,1)</f>
        <v>3</v>
      </c>
      <c r="AR49">
        <f ca="1">OFFSET(Coastal_DDF!$F$10,AM49,AO49,1,1)</f>
        <v>20</v>
      </c>
      <c r="AS49">
        <f ca="1">OFFSET(Coastal_DDF!$F$10,AM49,AO49+1,1,1)</f>
        <v>25</v>
      </c>
      <c r="AT49">
        <f t="shared" ca="1" si="8"/>
        <v>5</v>
      </c>
      <c r="AU49">
        <f t="shared" ca="1" si="9"/>
        <v>23.092192179999998</v>
      </c>
      <c r="AV49">
        <f t="shared" ca="1" si="10"/>
        <v>76349.677177645863</v>
      </c>
      <c r="AW49">
        <f t="shared" ca="1" si="19"/>
        <v>98726.171548212966</v>
      </c>
      <c r="AX49">
        <f t="shared" si="11"/>
        <v>0.61712603599999993</v>
      </c>
      <c r="AY49">
        <f t="shared" si="20"/>
        <v>12</v>
      </c>
      <c r="AZ49">
        <f ca="1">OFFSET(Coastal_DDF!$F$10,0,AY49,1,1)</f>
        <v>0.5</v>
      </c>
      <c r="BA49">
        <f ca="1">OFFSET(Coastal_DDF!$F$10,0,AY49+1,1,1)</f>
        <v>1</v>
      </c>
      <c r="BB49">
        <f ca="1">OFFSET(Coastal_DDF!$F$10,AM49,AY49,1,1)</f>
        <v>10</v>
      </c>
      <c r="BC49">
        <f ca="1">OFFSET(Coastal_DDF!$F$10,AM49,AY49+1,1,1)</f>
        <v>15</v>
      </c>
      <c r="BD49">
        <f t="shared" ca="1" si="12"/>
        <v>10</v>
      </c>
      <c r="BE49">
        <f t="shared" ca="1" si="13"/>
        <v>11.17126036</v>
      </c>
      <c r="BF49">
        <f t="shared" ca="1" si="14"/>
        <v>36935.519828738579</v>
      </c>
      <c r="BG49">
        <f t="shared" ca="1" si="21"/>
        <v>47760.548592104758</v>
      </c>
    </row>
    <row r="50" spans="1:59" x14ac:dyDescent="0.25">
      <c r="A50">
        <f>Inputs!A50</f>
        <v>20</v>
      </c>
      <c r="B50" t="str">
        <f>Inputs!B50</f>
        <v>NFWF-44225</v>
      </c>
      <c r="C50">
        <f>Inputs!C50</f>
        <v>2</v>
      </c>
      <c r="D50" t="str">
        <f>Inputs!D50</f>
        <v>NY_NFWF_44225_2_0002</v>
      </c>
      <c r="E50">
        <f>Inputs!E50</f>
        <v>9</v>
      </c>
      <c r="F50">
        <f>Inputs!F50</f>
        <v>0</v>
      </c>
      <c r="G50">
        <f>Inputs!G50</f>
        <v>136.25118599999999</v>
      </c>
      <c r="H50">
        <f>Inputs!H50</f>
        <v>1.3002359999999999</v>
      </c>
      <c r="I50">
        <f>Inputs!I50</f>
        <v>0.70023599999999997</v>
      </c>
      <c r="J50">
        <f>Inputs!J50</f>
        <v>0.6</v>
      </c>
      <c r="K50">
        <f>Inputs!K50</f>
        <v>1.62</v>
      </c>
      <c r="L50" t="str">
        <f>Inputs!L50</f>
        <v>C</v>
      </c>
      <c r="M50">
        <f>Inputs!M50</f>
        <v>0</v>
      </c>
      <c r="N50">
        <f>Inputs!N50</f>
        <v>4.2658662782399999</v>
      </c>
      <c r="O50">
        <f>Inputs!O50</f>
        <v>2.2973622782400001</v>
      </c>
      <c r="P50">
        <f>Inputs!P50</f>
        <v>1.9685039999999998</v>
      </c>
      <c r="Q50">
        <f>Inputs!Q50</f>
        <v>1466.5941409853999</v>
      </c>
      <c r="R50" t="str">
        <f>Inputs!R50</f>
        <v>New York, Low Estimate: https://ccorpinsights.com/costs-per-square-foot/</v>
      </c>
      <c r="S50">
        <f>Inputs!S50</f>
        <v>0</v>
      </c>
      <c r="T50">
        <f>Inputs!T50</f>
        <v>0</v>
      </c>
      <c r="U50">
        <f>Inputs!U50</f>
        <v>264426.92361966765</v>
      </c>
      <c r="V50">
        <f>IF(Inputs!V50=0,2020,Inputs!V50)</f>
        <v>2006</v>
      </c>
      <c r="W50">
        <f>Inputs!W50</f>
        <v>0</v>
      </c>
      <c r="X50" t="str">
        <f>IF(Inputs!X50=0,"UNK",Inputs!X50)</f>
        <v>RES1</v>
      </c>
      <c r="Y50" t="str">
        <f>Inputs!Y50</f>
        <v>No</v>
      </c>
      <c r="Z50" t="str">
        <f>Inputs!Z50</f>
        <v>Slab</v>
      </c>
      <c r="AA50">
        <f>Inputs!AA50</f>
        <v>2933.1882819707998</v>
      </c>
      <c r="AB50">
        <f>IF(Z50="Piers",MIN(2,Inputs!AB50),Inputs!AB50)</f>
        <v>2</v>
      </c>
      <c r="AC50">
        <f>Inputs!AC50</f>
        <v>1</v>
      </c>
      <c r="AD50">
        <f>Inputs!AD50</f>
        <v>90.15</v>
      </c>
      <c r="AE50">
        <f>Inputs!AE50</f>
        <v>2006</v>
      </c>
      <c r="AF50">
        <f>Inputs!AF50</f>
        <v>0</v>
      </c>
      <c r="AG50">
        <f>Inputs!AG50</f>
        <v>2.93</v>
      </c>
      <c r="AH50" t="str">
        <f>Inputs!AH50</f>
        <v>https://jeremynative.com/onthissite/</v>
      </c>
      <c r="AI50" t="str">
        <f>Inputs!AI50</f>
        <v>Shinnecock Reservation - no property information available; Assumed residential because not identified as otherwise on reservation run map</v>
      </c>
      <c r="AJ50">
        <f>Inputs!AJ50</f>
        <v>0</v>
      </c>
      <c r="AK50" t="str">
        <f t="shared" si="16"/>
        <v>Res</v>
      </c>
      <c r="AL50" t="str">
        <f t="shared" si="6"/>
        <v>RES1.2.Slab</v>
      </c>
      <c r="AM50">
        <f t="shared" si="17"/>
        <v>2</v>
      </c>
      <c r="AN50">
        <f t="shared" si="7"/>
        <v>3.2658662782399999</v>
      </c>
      <c r="AO50">
        <f t="shared" si="18"/>
        <v>15</v>
      </c>
      <c r="AP50">
        <f ca="1">OFFSET(Coastal_DDF!$F$10,0,AO50,1,1)</f>
        <v>3</v>
      </c>
      <c r="AQ50">
        <f ca="1">OFFSET(Coastal_DDF!$F$10,0,AO50+1,1,1)</f>
        <v>4</v>
      </c>
      <c r="AR50">
        <f ca="1">OFFSET(Coastal_DDF!$F$10,AM50,AO50,1,1)</f>
        <v>25</v>
      </c>
      <c r="AS50">
        <f ca="1">OFFSET(Coastal_DDF!$F$10,AM50,AO50+1,1,1)</f>
        <v>27.5</v>
      </c>
      <c r="AT50">
        <f t="shared" ca="1" si="8"/>
        <v>2.5</v>
      </c>
      <c r="AU50">
        <f t="shared" ca="1" si="9"/>
        <v>25.6646656956</v>
      </c>
      <c r="AV50">
        <f t="shared" ca="1" si="10"/>
        <v>67864.285956147243</v>
      </c>
      <c r="AW50">
        <f t="shared" ca="1" si="19"/>
        <v>87753.88953792768</v>
      </c>
      <c r="AX50">
        <f t="shared" si="11"/>
        <v>1.2973622782400001</v>
      </c>
      <c r="AY50">
        <f t="shared" si="20"/>
        <v>13</v>
      </c>
      <c r="AZ50">
        <f ca="1">OFFSET(Coastal_DDF!$F$10,0,AY50,1,1)</f>
        <v>1</v>
      </c>
      <c r="BA50">
        <f ca="1">OFFSET(Coastal_DDF!$F$10,0,AY50+1,1,1)</f>
        <v>2</v>
      </c>
      <c r="BB50">
        <f ca="1">OFFSET(Coastal_DDF!$F$10,AM50,AY50,1,1)</f>
        <v>15</v>
      </c>
      <c r="BC50">
        <f ca="1">OFFSET(Coastal_DDF!$F$10,AM50,AY50+1,1,1)</f>
        <v>20</v>
      </c>
      <c r="BD50">
        <f t="shared" ca="1" si="12"/>
        <v>5</v>
      </c>
      <c r="BE50">
        <f t="shared" ca="1" si="13"/>
        <v>16.4868113912</v>
      </c>
      <c r="BF50">
        <f t="shared" ca="1" si="14"/>
        <v>43595.568164727083</v>
      </c>
      <c r="BG50">
        <f t="shared" ca="1" si="21"/>
        <v>56372.517874022094</v>
      </c>
    </row>
    <row r="51" spans="1:59" x14ac:dyDescent="0.25">
      <c r="A51">
        <f>Inputs!A51</f>
        <v>20</v>
      </c>
      <c r="B51" t="str">
        <f>Inputs!B51</f>
        <v>NFWF-44225</v>
      </c>
      <c r="C51">
        <f>Inputs!C51</f>
        <v>2</v>
      </c>
      <c r="D51" t="str">
        <f>Inputs!D51</f>
        <v>NY_NFWF_44225_2_0003</v>
      </c>
      <c r="E51">
        <f>Inputs!E51</f>
        <v>9</v>
      </c>
      <c r="F51">
        <f>Inputs!F51</f>
        <v>0</v>
      </c>
      <c r="G51">
        <f>Inputs!G51</f>
        <v>98.425234000000003</v>
      </c>
      <c r="H51">
        <f>Inputs!H51</f>
        <v>1.2135689999999999</v>
      </c>
      <c r="I51">
        <f>Inputs!I51</f>
        <v>0.61356900000000003</v>
      </c>
      <c r="J51">
        <f>Inputs!J51</f>
        <v>0.6</v>
      </c>
      <c r="K51">
        <f>Inputs!K51</f>
        <v>1.62</v>
      </c>
      <c r="L51" t="str">
        <f>Inputs!L51</f>
        <v>C</v>
      </c>
      <c r="M51">
        <f>Inputs!M51</f>
        <v>0</v>
      </c>
      <c r="N51">
        <f>Inputs!N51</f>
        <v>3.9815257179599994</v>
      </c>
      <c r="O51">
        <f>Inputs!O51</f>
        <v>2.0130217179600001</v>
      </c>
      <c r="P51">
        <f>Inputs!P51</f>
        <v>1.9685039999999998</v>
      </c>
      <c r="Q51">
        <f>Inputs!Q51</f>
        <v>1059.4393762525999</v>
      </c>
      <c r="R51" t="str">
        <f>Inputs!R51</f>
        <v>New York, Low Estimate: https://ccorpinsights.com/costs-per-square-foot/</v>
      </c>
      <c r="S51">
        <f>Inputs!S51</f>
        <v>0</v>
      </c>
      <c r="T51">
        <f>Inputs!T51</f>
        <v>0</v>
      </c>
      <c r="U51">
        <f>Inputs!U51</f>
        <v>98358.351691291376</v>
      </c>
      <c r="V51">
        <f>IF(Inputs!V51=0,2020,Inputs!V51)</f>
        <v>2006</v>
      </c>
      <c r="W51">
        <f>Inputs!W51</f>
        <v>0</v>
      </c>
      <c r="X51" t="str">
        <f>IF(Inputs!X51=0,"UNK",Inputs!X51)</f>
        <v>RES1</v>
      </c>
      <c r="Y51" t="str">
        <f>Inputs!Y51</f>
        <v>No</v>
      </c>
      <c r="Z51" t="str">
        <f>Inputs!Z51</f>
        <v>Slab</v>
      </c>
      <c r="AA51">
        <f>Inputs!AA51</f>
        <v>1059.4393762525999</v>
      </c>
      <c r="AB51">
        <f>IF(Z51="Piers",MIN(2,Inputs!AB51),Inputs!AB51)</f>
        <v>1</v>
      </c>
      <c r="AC51">
        <f>Inputs!AC51</f>
        <v>1</v>
      </c>
      <c r="AD51">
        <f>Inputs!AD51</f>
        <v>92.84</v>
      </c>
      <c r="AE51">
        <f>Inputs!AE51</f>
        <v>2006</v>
      </c>
      <c r="AF51">
        <f>Inputs!AF51</f>
        <v>0</v>
      </c>
      <c r="AG51">
        <f>Inputs!AG51</f>
        <v>2.93</v>
      </c>
      <c r="AH51" t="str">
        <f>Inputs!AH51</f>
        <v>https://jeremynative.com/onthissite/</v>
      </c>
      <c r="AI51" t="str">
        <f>Inputs!AI51</f>
        <v>Shinnecock Reservation - no property information available; Assumed residential because not identified as otherwise on reservation run map</v>
      </c>
      <c r="AJ51">
        <f>Inputs!AJ51</f>
        <v>0</v>
      </c>
      <c r="AK51" t="str">
        <f t="shared" si="16"/>
        <v>Res</v>
      </c>
      <c r="AL51" t="str">
        <f t="shared" si="6"/>
        <v>RES1.1.Slab</v>
      </c>
      <c r="AM51">
        <f t="shared" si="17"/>
        <v>1</v>
      </c>
      <c r="AN51">
        <f t="shared" si="7"/>
        <v>2.9815257179599994</v>
      </c>
      <c r="AO51">
        <f t="shared" si="18"/>
        <v>14</v>
      </c>
      <c r="AP51">
        <f ca="1">OFFSET(Coastal_DDF!$F$10,0,AO51,1,1)</f>
        <v>2</v>
      </c>
      <c r="AQ51">
        <f ca="1">OFFSET(Coastal_DDF!$F$10,0,AO51+1,1,1)</f>
        <v>3</v>
      </c>
      <c r="AR51">
        <f ca="1">OFFSET(Coastal_DDF!$F$10,AM51,AO51,1,1)</f>
        <v>28</v>
      </c>
      <c r="AS51">
        <f ca="1">OFFSET(Coastal_DDF!$F$10,AM51,AO51+1,1,1)</f>
        <v>33</v>
      </c>
      <c r="AT51">
        <f t="shared" ca="1" si="8"/>
        <v>5</v>
      </c>
      <c r="AU51">
        <f t="shared" ca="1" si="9"/>
        <v>32.907628589799998</v>
      </c>
      <c r="AV51">
        <f t="shared" ca="1" si="10"/>
        <v>32367.401061619432</v>
      </c>
      <c r="AW51">
        <f t="shared" ca="1" si="19"/>
        <v>41853.609706091229</v>
      </c>
      <c r="AX51">
        <f t="shared" si="11"/>
        <v>1.0130217179600001</v>
      </c>
      <c r="AY51">
        <f t="shared" si="20"/>
        <v>13</v>
      </c>
      <c r="AZ51">
        <f ca="1">OFFSET(Coastal_DDF!$F$10,0,AY51,1,1)</f>
        <v>1</v>
      </c>
      <c r="BA51">
        <f ca="1">OFFSET(Coastal_DDF!$F$10,0,AY51+1,1,1)</f>
        <v>2</v>
      </c>
      <c r="BB51">
        <f ca="1">OFFSET(Coastal_DDF!$F$10,AM51,AY51,1,1)</f>
        <v>18</v>
      </c>
      <c r="BC51">
        <f ca="1">OFFSET(Coastal_DDF!$F$10,AM51,AY51+1,1,1)</f>
        <v>28</v>
      </c>
      <c r="BD51">
        <f t="shared" ca="1" si="12"/>
        <v>10</v>
      </c>
      <c r="BE51">
        <f t="shared" ca="1" si="13"/>
        <v>18.130217179600002</v>
      </c>
      <c r="BF51">
        <f t="shared" ca="1" si="14"/>
        <v>17832.582775905899</v>
      </c>
      <c r="BG51">
        <f t="shared" ca="1" si="21"/>
        <v>23058.940016019562</v>
      </c>
    </row>
    <row r="52" spans="1:59" x14ac:dyDescent="0.25">
      <c r="A52">
        <f>Inputs!A52</f>
        <v>100</v>
      </c>
      <c r="B52" t="str">
        <f>Inputs!B52</f>
        <v>NFWF-44225</v>
      </c>
      <c r="C52">
        <f>Inputs!C52</f>
        <v>2</v>
      </c>
      <c r="D52" t="str">
        <f>Inputs!D52</f>
        <v>NY_NFWF_44225_2_0001</v>
      </c>
      <c r="E52">
        <f>Inputs!E52</f>
        <v>9</v>
      </c>
      <c r="F52">
        <f>Inputs!F52</f>
        <v>0</v>
      </c>
      <c r="G52">
        <f>Inputs!G52</f>
        <v>170.363542</v>
      </c>
      <c r="H52">
        <f>Inputs!H52</f>
        <v>1.7408999999999999</v>
      </c>
      <c r="I52">
        <f>Inputs!I52</f>
        <v>1.0008999999999999</v>
      </c>
      <c r="J52">
        <f>Inputs!J52</f>
        <v>0.74</v>
      </c>
      <c r="K52">
        <f>Inputs!K52</f>
        <v>1.62</v>
      </c>
      <c r="L52" t="str">
        <f>Inputs!L52</f>
        <v>C</v>
      </c>
      <c r="M52">
        <f>Inputs!M52</f>
        <v>0</v>
      </c>
      <c r="N52">
        <f>Inputs!N52</f>
        <v>5.7116143559999992</v>
      </c>
      <c r="O52">
        <f>Inputs!O52</f>
        <v>3.2837927559999995</v>
      </c>
      <c r="P52">
        <f>Inputs!P52</f>
        <v>2.4278216000000001</v>
      </c>
      <c r="Q52">
        <f>Inputs!Q52</f>
        <v>1833.7761297338</v>
      </c>
      <c r="R52" t="str">
        <f>Inputs!R52</f>
        <v>New York, Low Estimate: https://ccorpinsights.com/costs-per-square-foot/</v>
      </c>
      <c r="S52">
        <f>Inputs!S52</f>
        <v>0</v>
      </c>
      <c r="T52">
        <f>Inputs!T52</f>
        <v>0</v>
      </c>
      <c r="U52">
        <f>Inputs!U52</f>
        <v>330629.83619100414</v>
      </c>
      <c r="V52">
        <f>IF(Inputs!V52=0,2020,Inputs!V52)</f>
        <v>2006</v>
      </c>
      <c r="W52">
        <f>Inputs!W52</f>
        <v>0</v>
      </c>
      <c r="X52" t="str">
        <f>IF(Inputs!X52=0,"UNK",Inputs!X52)</f>
        <v>RES1</v>
      </c>
      <c r="Y52" t="str">
        <f>Inputs!Y52</f>
        <v>No</v>
      </c>
      <c r="Z52" t="str">
        <f>Inputs!Z52</f>
        <v>Slab</v>
      </c>
      <c r="AA52">
        <f>Inputs!AA52</f>
        <v>3667.5522594675999</v>
      </c>
      <c r="AB52">
        <f>IF(Z52="Piers",MIN(2,Inputs!AB52),Inputs!AB52)</f>
        <v>2</v>
      </c>
      <c r="AC52">
        <f>Inputs!AC52</f>
        <v>1</v>
      </c>
      <c r="AD52">
        <f>Inputs!AD52</f>
        <v>90.15</v>
      </c>
      <c r="AE52">
        <f>Inputs!AE52</f>
        <v>2006</v>
      </c>
      <c r="AF52">
        <f>Inputs!AF52</f>
        <v>0</v>
      </c>
      <c r="AG52">
        <f>Inputs!AG52</f>
        <v>2.93</v>
      </c>
      <c r="AH52" t="str">
        <f>Inputs!AH52</f>
        <v>https://jeremynative.com/onthissite/</v>
      </c>
      <c r="AI52" t="str">
        <f>Inputs!AI52</f>
        <v>Shinnecock Reservation - no property information available; Assumed residential because not identified as otherwise on reservation run map</v>
      </c>
      <c r="AJ52">
        <f>Inputs!AJ52</f>
        <v>0</v>
      </c>
      <c r="AK52" t="str">
        <f t="shared" si="16"/>
        <v>Res</v>
      </c>
      <c r="AL52" t="str">
        <f t="shared" si="6"/>
        <v>RES1.2.Slab</v>
      </c>
      <c r="AM52">
        <f t="shared" si="17"/>
        <v>2</v>
      </c>
      <c r="AN52">
        <f t="shared" si="7"/>
        <v>4.7116143559999992</v>
      </c>
      <c r="AO52">
        <f t="shared" si="18"/>
        <v>16</v>
      </c>
      <c r="AP52">
        <f ca="1">OFFSET(Coastal_DDF!$F$10,0,AO52,1,1)</f>
        <v>4</v>
      </c>
      <c r="AQ52">
        <f ca="1">OFFSET(Coastal_DDF!$F$10,0,AO52+1,1,1)</f>
        <v>5</v>
      </c>
      <c r="AR52">
        <f ca="1">OFFSET(Coastal_DDF!$F$10,AM52,AO52,1,1)</f>
        <v>27.5</v>
      </c>
      <c r="AS52">
        <f ca="1">OFFSET(Coastal_DDF!$F$10,AM52,AO52+1,1,1)</f>
        <v>30</v>
      </c>
      <c r="AT52">
        <f t="shared" ca="1" si="8"/>
        <v>2.5</v>
      </c>
      <c r="AU52">
        <f t="shared" ca="1" si="9"/>
        <v>29.279035889999999</v>
      </c>
      <c r="AV52">
        <f t="shared" ca="1" si="10"/>
        <v>96805.228401412314</v>
      </c>
      <c r="AW52">
        <f t="shared" ca="1" si="19"/>
        <v>125176.81723374713</v>
      </c>
      <c r="AX52">
        <f t="shared" si="11"/>
        <v>2.2837927559999995</v>
      </c>
      <c r="AY52">
        <f t="shared" si="20"/>
        <v>14</v>
      </c>
      <c r="AZ52">
        <f ca="1">OFFSET(Coastal_DDF!$F$10,0,AY52,1,1)</f>
        <v>2</v>
      </c>
      <c r="BA52">
        <f ca="1">OFFSET(Coastal_DDF!$F$10,0,AY52+1,1,1)</f>
        <v>3</v>
      </c>
      <c r="BB52">
        <f ca="1">OFFSET(Coastal_DDF!$F$10,AM52,AY52,1,1)</f>
        <v>20</v>
      </c>
      <c r="BC52">
        <f ca="1">OFFSET(Coastal_DDF!$F$10,AM52,AY52+1,1,1)</f>
        <v>25</v>
      </c>
      <c r="BD52">
        <f t="shared" ca="1" si="12"/>
        <v>5</v>
      </c>
      <c r="BE52">
        <f t="shared" ca="1" si="13"/>
        <v>21.418963779999999</v>
      </c>
      <c r="BF52">
        <f t="shared" ca="1" si="14"/>
        <v>70817.484859624514</v>
      </c>
      <c r="BG52">
        <f t="shared" ca="1" si="21"/>
        <v>91572.609306477738</v>
      </c>
    </row>
    <row r="53" spans="1:59" x14ac:dyDescent="0.25">
      <c r="A53">
        <f>Inputs!A53</f>
        <v>100</v>
      </c>
      <c r="B53" t="str">
        <f>Inputs!B53</f>
        <v>NFWF-44225</v>
      </c>
      <c r="C53">
        <f>Inputs!C53</f>
        <v>2</v>
      </c>
      <c r="D53" t="str">
        <f>Inputs!D53</f>
        <v>NY_NFWF_44225_2_0002</v>
      </c>
      <c r="E53">
        <f>Inputs!E53</f>
        <v>9</v>
      </c>
      <c r="F53">
        <f>Inputs!F53</f>
        <v>0</v>
      </c>
      <c r="G53">
        <f>Inputs!G53</f>
        <v>136.25118599999999</v>
      </c>
      <c r="H53">
        <f>Inputs!H53</f>
        <v>1.9382360000000001</v>
      </c>
      <c r="I53">
        <f>Inputs!I53</f>
        <v>1.2082360000000001</v>
      </c>
      <c r="J53">
        <f>Inputs!J53</f>
        <v>0.73</v>
      </c>
      <c r="K53">
        <f>Inputs!K53</f>
        <v>1.62</v>
      </c>
      <c r="L53" t="str">
        <f>Inputs!L53</f>
        <v>C</v>
      </c>
      <c r="M53">
        <f>Inputs!M53</f>
        <v>0</v>
      </c>
      <c r="N53">
        <f>Inputs!N53</f>
        <v>6.3590421982400001</v>
      </c>
      <c r="O53">
        <f>Inputs!O53</f>
        <v>3.9640289982400003</v>
      </c>
      <c r="P53">
        <f>Inputs!P53</f>
        <v>2.3950131999999997</v>
      </c>
      <c r="Q53">
        <f>Inputs!Q53</f>
        <v>1466.5941409853999</v>
      </c>
      <c r="R53" t="str">
        <f>Inputs!R53</f>
        <v>New York, Low Estimate: https://ccorpinsights.com/costs-per-square-foot/</v>
      </c>
      <c r="S53">
        <f>Inputs!S53</f>
        <v>0</v>
      </c>
      <c r="T53">
        <f>Inputs!T53</f>
        <v>0</v>
      </c>
      <c r="U53">
        <f>Inputs!U53</f>
        <v>264426.92361966765</v>
      </c>
      <c r="V53">
        <f>IF(Inputs!V53=0,2020,Inputs!V53)</f>
        <v>2006</v>
      </c>
      <c r="W53">
        <f>Inputs!W53</f>
        <v>0</v>
      </c>
      <c r="X53" t="str">
        <f>IF(Inputs!X53=0,"UNK",Inputs!X53)</f>
        <v>RES1</v>
      </c>
      <c r="Y53" t="str">
        <f>Inputs!Y53</f>
        <v>No</v>
      </c>
      <c r="Z53" t="str">
        <f>Inputs!Z53</f>
        <v>Slab</v>
      </c>
      <c r="AA53">
        <f>Inputs!AA53</f>
        <v>2933.1882819707998</v>
      </c>
      <c r="AB53">
        <f>IF(Z53="Piers",MIN(2,Inputs!AB53),Inputs!AB53)</f>
        <v>2</v>
      </c>
      <c r="AC53">
        <f>Inputs!AC53</f>
        <v>1</v>
      </c>
      <c r="AD53">
        <f>Inputs!AD53</f>
        <v>90.15</v>
      </c>
      <c r="AE53">
        <f>Inputs!AE53</f>
        <v>2006</v>
      </c>
      <c r="AF53">
        <f>Inputs!AF53</f>
        <v>0</v>
      </c>
      <c r="AG53">
        <f>Inputs!AG53</f>
        <v>2.93</v>
      </c>
      <c r="AH53" t="str">
        <f>Inputs!AH53</f>
        <v>https://jeremynative.com/onthissite/</v>
      </c>
      <c r="AI53" t="str">
        <f>Inputs!AI53</f>
        <v>Shinnecock Reservation - no property information available; Assumed residential because not identified as otherwise on reservation run map</v>
      </c>
      <c r="AJ53">
        <f>Inputs!AJ53</f>
        <v>0</v>
      </c>
      <c r="AK53" t="str">
        <f t="shared" si="16"/>
        <v>Res</v>
      </c>
      <c r="AL53" t="str">
        <f t="shared" si="6"/>
        <v>RES1.2.Slab</v>
      </c>
      <c r="AM53">
        <f t="shared" si="17"/>
        <v>2</v>
      </c>
      <c r="AN53">
        <f t="shared" si="7"/>
        <v>5.3590421982400001</v>
      </c>
      <c r="AO53">
        <f t="shared" si="18"/>
        <v>17</v>
      </c>
      <c r="AP53">
        <f ca="1">OFFSET(Coastal_DDF!$F$10,0,AO53,1,1)</f>
        <v>5</v>
      </c>
      <c r="AQ53">
        <f ca="1">OFFSET(Coastal_DDF!$F$10,0,AO53+1,1,1)</f>
        <v>6</v>
      </c>
      <c r="AR53">
        <f ca="1">OFFSET(Coastal_DDF!$F$10,AM53,AO53,1,1)</f>
        <v>30</v>
      </c>
      <c r="AS53">
        <f ca="1">OFFSET(Coastal_DDF!$F$10,AM53,AO53+1,1,1)</f>
        <v>40</v>
      </c>
      <c r="AT53">
        <f t="shared" ca="1" si="8"/>
        <v>10</v>
      </c>
      <c r="AU53">
        <f t="shared" ca="1" si="9"/>
        <v>33.590421982400002</v>
      </c>
      <c r="AV53">
        <f t="shared" ca="1" si="10"/>
        <v>88822.119478924913</v>
      </c>
      <c r="AW53">
        <f t="shared" ca="1" si="19"/>
        <v>114854.02596462677</v>
      </c>
      <c r="AX53">
        <f t="shared" si="11"/>
        <v>2.9640289982400003</v>
      </c>
      <c r="AY53">
        <f t="shared" si="20"/>
        <v>14</v>
      </c>
      <c r="AZ53">
        <f ca="1">OFFSET(Coastal_DDF!$F$10,0,AY53,1,1)</f>
        <v>2</v>
      </c>
      <c r="BA53">
        <f ca="1">OFFSET(Coastal_DDF!$F$10,0,AY53+1,1,1)</f>
        <v>3</v>
      </c>
      <c r="BB53">
        <f ca="1">OFFSET(Coastal_DDF!$F$10,AM53,AY53,1,1)</f>
        <v>20</v>
      </c>
      <c r="BC53">
        <f ca="1">OFFSET(Coastal_DDF!$F$10,AM53,AY53+1,1,1)</f>
        <v>25</v>
      </c>
      <c r="BD53">
        <f t="shared" ca="1" si="12"/>
        <v>5</v>
      </c>
      <c r="BE53">
        <f t="shared" ca="1" si="13"/>
        <v>24.820144991200003</v>
      </c>
      <c r="BF53">
        <f t="shared" ca="1" si="14"/>
        <v>65631.1458381712</v>
      </c>
      <c r="BG53">
        <f t="shared" ca="1" si="21"/>
        <v>84866.262732832954</v>
      </c>
    </row>
    <row r="54" spans="1:59" x14ac:dyDescent="0.25">
      <c r="A54">
        <f>Inputs!A54</f>
        <v>100</v>
      </c>
      <c r="B54" t="str">
        <f>Inputs!B54</f>
        <v>NFWF-44225</v>
      </c>
      <c r="C54">
        <f>Inputs!C54</f>
        <v>2</v>
      </c>
      <c r="D54" t="str">
        <f>Inputs!D54</f>
        <v>NY_NFWF_44225_2_0003</v>
      </c>
      <c r="E54">
        <f>Inputs!E54</f>
        <v>9</v>
      </c>
      <c r="F54">
        <f>Inputs!F54</f>
        <v>0</v>
      </c>
      <c r="G54">
        <f>Inputs!G54</f>
        <v>98.425234000000003</v>
      </c>
      <c r="H54">
        <f>Inputs!H54</f>
        <v>1.841569</v>
      </c>
      <c r="I54">
        <f>Inputs!I54</f>
        <v>1.131569</v>
      </c>
      <c r="J54">
        <f>Inputs!J54</f>
        <v>0.71</v>
      </c>
      <c r="K54">
        <f>Inputs!K54</f>
        <v>1.62</v>
      </c>
      <c r="L54" t="str">
        <f>Inputs!L54</f>
        <v>C</v>
      </c>
      <c r="M54">
        <f>Inputs!M54</f>
        <v>0</v>
      </c>
      <c r="N54">
        <f>Inputs!N54</f>
        <v>6.0418932379600001</v>
      </c>
      <c r="O54">
        <f>Inputs!O54</f>
        <v>3.7124968379600003</v>
      </c>
      <c r="P54">
        <f>Inputs!P54</f>
        <v>2.3293963999999998</v>
      </c>
      <c r="Q54">
        <f>Inputs!Q54</f>
        <v>1059.4393762525999</v>
      </c>
      <c r="R54" t="str">
        <f>Inputs!R54</f>
        <v>New York, Low Estimate: https://ccorpinsights.com/costs-per-square-foot/</v>
      </c>
      <c r="S54">
        <f>Inputs!S54</f>
        <v>0</v>
      </c>
      <c r="T54">
        <f>Inputs!T54</f>
        <v>0</v>
      </c>
      <c r="U54">
        <f>Inputs!U54</f>
        <v>98358.351691291376</v>
      </c>
      <c r="V54">
        <f>IF(Inputs!V54=0,2020,Inputs!V54)</f>
        <v>2006</v>
      </c>
      <c r="W54">
        <f>Inputs!W54</f>
        <v>0</v>
      </c>
      <c r="X54" t="str">
        <f>IF(Inputs!X54=0,"UNK",Inputs!X54)</f>
        <v>RES1</v>
      </c>
      <c r="Y54" t="str">
        <f>Inputs!Y54</f>
        <v>No</v>
      </c>
      <c r="Z54" t="str">
        <f>Inputs!Z54</f>
        <v>Slab</v>
      </c>
      <c r="AA54">
        <f>Inputs!AA54</f>
        <v>1059.4393762525999</v>
      </c>
      <c r="AB54">
        <f>IF(Z54="Piers",MIN(2,Inputs!AB54),Inputs!AB54)</f>
        <v>1</v>
      </c>
      <c r="AC54">
        <f>Inputs!AC54</f>
        <v>1</v>
      </c>
      <c r="AD54">
        <f>Inputs!AD54</f>
        <v>92.84</v>
      </c>
      <c r="AE54">
        <f>Inputs!AE54</f>
        <v>2006</v>
      </c>
      <c r="AF54">
        <f>Inputs!AF54</f>
        <v>0</v>
      </c>
      <c r="AG54">
        <f>Inputs!AG54</f>
        <v>2.93</v>
      </c>
      <c r="AH54" t="str">
        <f>Inputs!AH54</f>
        <v>https://jeremynative.com/onthissite/</v>
      </c>
      <c r="AI54" t="str">
        <f>Inputs!AI54</f>
        <v>Shinnecock Reservation - no property information available; Assumed residential because not identified as otherwise on reservation run map</v>
      </c>
      <c r="AJ54">
        <f>Inputs!AJ54</f>
        <v>0</v>
      </c>
      <c r="AK54" t="str">
        <f t="shared" si="16"/>
        <v>Res</v>
      </c>
      <c r="AL54" t="str">
        <f t="shared" si="6"/>
        <v>RES1.1.Slab</v>
      </c>
      <c r="AM54">
        <f t="shared" si="17"/>
        <v>1</v>
      </c>
      <c r="AN54">
        <f t="shared" si="7"/>
        <v>5.0418932379600001</v>
      </c>
      <c r="AO54">
        <f t="shared" si="18"/>
        <v>17</v>
      </c>
      <c r="AP54">
        <f ca="1">OFFSET(Coastal_DDF!$F$10,0,AO54,1,1)</f>
        <v>5</v>
      </c>
      <c r="AQ54">
        <f ca="1">OFFSET(Coastal_DDF!$F$10,0,AO54+1,1,1)</f>
        <v>6</v>
      </c>
      <c r="AR54">
        <f ca="1">OFFSET(Coastal_DDF!$F$10,AM54,AO54,1,1)</f>
        <v>42</v>
      </c>
      <c r="AS54">
        <f ca="1">OFFSET(Coastal_DDF!$F$10,AM54,AO54+1,1,1)</f>
        <v>48.5</v>
      </c>
      <c r="AT54">
        <f t="shared" ca="1" si="8"/>
        <v>6.5</v>
      </c>
      <c r="AU54">
        <f t="shared" ca="1" si="9"/>
        <v>42.272306046739999</v>
      </c>
      <c r="AV54">
        <f t="shared" ca="1" si="10"/>
        <v>41578.343449471562</v>
      </c>
      <c r="AW54">
        <f t="shared" ca="1" si="19"/>
        <v>53764.086762699451</v>
      </c>
      <c r="AX54">
        <f t="shared" si="11"/>
        <v>2.7124968379600003</v>
      </c>
      <c r="AY54">
        <f t="shared" si="20"/>
        <v>14</v>
      </c>
      <c r="AZ54">
        <f ca="1">OFFSET(Coastal_DDF!$F$10,0,AY54,1,1)</f>
        <v>2</v>
      </c>
      <c r="BA54">
        <f ca="1">OFFSET(Coastal_DDF!$F$10,0,AY54+1,1,1)</f>
        <v>3</v>
      </c>
      <c r="BB54">
        <f ca="1">OFFSET(Coastal_DDF!$F$10,AM54,AY54,1,1)</f>
        <v>28</v>
      </c>
      <c r="BC54">
        <f ca="1">OFFSET(Coastal_DDF!$F$10,AM54,AY54+1,1,1)</f>
        <v>33</v>
      </c>
      <c r="BD54">
        <f t="shared" ca="1" si="12"/>
        <v>5</v>
      </c>
      <c r="BE54">
        <f t="shared" ca="1" si="13"/>
        <v>31.562484189800003</v>
      </c>
      <c r="BF54">
        <f t="shared" ca="1" si="14"/>
        <v>31044.339201911727</v>
      </c>
      <c r="BG54">
        <f t="shared" ca="1" si="21"/>
        <v>40142.786072528506</v>
      </c>
    </row>
    <row r="55" spans="1:59" x14ac:dyDescent="0.25">
      <c r="A55">
        <f>Inputs!A55</f>
        <v>20</v>
      </c>
      <c r="B55" t="str">
        <f>Inputs!B55</f>
        <v>NFWF-43322</v>
      </c>
      <c r="C55">
        <f>Inputs!C55</f>
        <v>3</v>
      </c>
      <c r="D55" t="str">
        <f>Inputs!D55</f>
        <v>MA_NFWF_43322_3_0002</v>
      </c>
      <c r="E55">
        <f>Inputs!E55</f>
        <v>12</v>
      </c>
      <c r="F55">
        <f>Inputs!F55</f>
        <v>0</v>
      </c>
      <c r="G55">
        <f>Inputs!G55</f>
        <v>65.794325000000001</v>
      </c>
      <c r="H55">
        <f>Inputs!H55</f>
        <v>1.166628</v>
      </c>
      <c r="I55">
        <f>Inputs!I55</f>
        <v>0.65662799999999999</v>
      </c>
      <c r="J55">
        <f>Inputs!J55</f>
        <v>0.51</v>
      </c>
      <c r="K55">
        <f>Inputs!K55</f>
        <v>4.9000000000000004</v>
      </c>
      <c r="L55" t="str">
        <f>Inputs!L55</f>
        <v>C</v>
      </c>
      <c r="M55">
        <f>Inputs!M55</f>
        <v>0</v>
      </c>
      <c r="N55">
        <f>Inputs!N55</f>
        <v>3.8275198075199999</v>
      </c>
      <c r="O55">
        <f>Inputs!O55</f>
        <v>2.1542914075200001</v>
      </c>
      <c r="P55">
        <f>Inputs!P55</f>
        <v>1.6732283999999999</v>
      </c>
      <c r="Q55">
        <f>Inputs!Q55</f>
        <v>708.20353486750003</v>
      </c>
      <c r="R55" t="str">
        <f>Inputs!R55</f>
        <v>Town Assessor</v>
      </c>
      <c r="S55" t="str">
        <f>Inputs!S55</f>
        <v>4-61</v>
      </c>
      <c r="T55">
        <f>Inputs!T55</f>
        <v>40200</v>
      </c>
      <c r="U55">
        <f>Inputs!U55</f>
        <v>67245</v>
      </c>
      <c r="V55">
        <f>IF(Inputs!V55=0,2020,Inputs!V55)</f>
        <v>2019</v>
      </c>
      <c r="W55">
        <f>Inputs!W55</f>
        <v>1939</v>
      </c>
      <c r="X55" t="str">
        <f>IF(Inputs!X55=0,"UNK",Inputs!X55)</f>
        <v>RES1</v>
      </c>
      <c r="Y55" t="str">
        <f>Inputs!Y55</f>
        <v>No</v>
      </c>
      <c r="Z55" t="str">
        <f>Inputs!Z55</f>
        <v>Slab</v>
      </c>
      <c r="AA55">
        <f>Inputs!AA55</f>
        <v>484</v>
      </c>
      <c r="AB55">
        <f>IF(Z55="Piers",MIN(2,Inputs!AB55),Inputs!AB55)</f>
        <v>1</v>
      </c>
      <c r="AC55">
        <f>Inputs!AC55</f>
        <v>1</v>
      </c>
      <c r="AD55">
        <f>Inputs!AD55</f>
        <v>0</v>
      </c>
      <c r="AE55">
        <f>Inputs!AE55</f>
        <v>0</v>
      </c>
      <c r="AF55">
        <f>Inputs!AF55</f>
        <v>0</v>
      </c>
      <c r="AG55">
        <f>Inputs!AG55</f>
        <v>2.2200000000000002</v>
      </c>
      <c r="AH55" t="str">
        <f>Inputs!AH55</f>
        <v>https://www.axisgis.com/AquinnahMA/Docs/Batch/Vision%20Property%20Card/Vision%20ID_%20783.pdf</v>
      </c>
      <c r="AI55" t="str">
        <f>Inputs!AI55</f>
        <v>second home - should we make the population multiplier 0?</v>
      </c>
      <c r="AJ55" t="str">
        <f>Inputs!AJ55</f>
        <v>23 Lobsterville Road Aquinnah, MA 02535</v>
      </c>
      <c r="AK55" t="str">
        <f t="shared" si="16"/>
        <v>Res</v>
      </c>
      <c r="AL55" t="str">
        <f t="shared" si="6"/>
        <v>RES1.1.Slab</v>
      </c>
      <c r="AM55">
        <f t="shared" si="17"/>
        <v>1</v>
      </c>
      <c r="AN55">
        <f t="shared" si="7"/>
        <v>2.8275198075199999</v>
      </c>
      <c r="AO55">
        <f t="shared" si="18"/>
        <v>14</v>
      </c>
      <c r="AP55">
        <f ca="1">OFFSET(Coastal_DDF!$F$10,0,AO55,1,1)</f>
        <v>2</v>
      </c>
      <c r="AQ55">
        <f ca="1">OFFSET(Coastal_DDF!$F$10,0,AO55+1,1,1)</f>
        <v>3</v>
      </c>
      <c r="AR55">
        <f ca="1">OFFSET(Coastal_DDF!$F$10,AM55,AO55,1,1)</f>
        <v>28</v>
      </c>
      <c r="AS55">
        <f ca="1">OFFSET(Coastal_DDF!$F$10,AM55,AO55+1,1,1)</f>
        <v>33</v>
      </c>
      <c r="AT55">
        <f t="shared" ca="1" si="8"/>
        <v>5</v>
      </c>
      <c r="AU55">
        <f t="shared" ca="1" si="9"/>
        <v>32.137599037599998</v>
      </c>
      <c r="AV55">
        <f t="shared" ca="1" si="10"/>
        <v>21610.928472834115</v>
      </c>
      <c r="AW55">
        <f t="shared" ca="1" si="19"/>
        <v>21983.11668542181</v>
      </c>
      <c r="AX55">
        <f t="shared" si="11"/>
        <v>1.1542914075200001</v>
      </c>
      <c r="AY55">
        <f t="shared" si="20"/>
        <v>13</v>
      </c>
      <c r="AZ55">
        <f ca="1">OFFSET(Coastal_DDF!$F$10,0,AY55,1,1)</f>
        <v>1</v>
      </c>
      <c r="BA55">
        <f ca="1">OFFSET(Coastal_DDF!$F$10,0,AY55+1,1,1)</f>
        <v>2</v>
      </c>
      <c r="BB55">
        <f ca="1">OFFSET(Coastal_DDF!$F$10,AM55,AY55,1,1)</f>
        <v>18</v>
      </c>
      <c r="BC55">
        <f ca="1">OFFSET(Coastal_DDF!$F$10,AM55,AY55+1,1,1)</f>
        <v>28</v>
      </c>
      <c r="BD55">
        <f t="shared" ca="1" si="12"/>
        <v>10</v>
      </c>
      <c r="BE55">
        <f t="shared" ca="1" si="13"/>
        <v>19.542914075200002</v>
      </c>
      <c r="BF55">
        <f t="shared" ca="1" si="14"/>
        <v>13141.632569868241</v>
      </c>
      <c r="BG55">
        <f t="shared" ca="1" si="21"/>
        <v>13367.960686349303</v>
      </c>
    </row>
    <row r="56" spans="1:59" x14ac:dyDescent="0.25">
      <c r="A56">
        <f>Inputs!A56</f>
        <v>100</v>
      </c>
      <c r="B56" t="str">
        <f>Inputs!B56</f>
        <v>NFWF-43322</v>
      </c>
      <c r="C56">
        <f>Inputs!C56</f>
        <v>3</v>
      </c>
      <c r="D56" t="str">
        <f>Inputs!D56</f>
        <v>MA_NFWF_43322_3_0003</v>
      </c>
      <c r="E56">
        <f>Inputs!E56</f>
        <v>10</v>
      </c>
      <c r="F56">
        <f>Inputs!F56</f>
        <v>0</v>
      </c>
      <c r="G56">
        <f>Inputs!G56</f>
        <v>82.180473000000006</v>
      </c>
      <c r="H56">
        <f>Inputs!H56</f>
        <v>2.6466419999999999</v>
      </c>
      <c r="I56">
        <f>Inputs!I56</f>
        <v>2.3166419999999999</v>
      </c>
      <c r="J56">
        <f>Inputs!J56</f>
        <v>0.33</v>
      </c>
      <c r="K56">
        <f>Inputs!K56</f>
        <v>4.9000000000000004</v>
      </c>
      <c r="L56" t="str">
        <f>Inputs!L56</f>
        <v>C</v>
      </c>
      <c r="M56">
        <f>Inputs!M56</f>
        <v>0</v>
      </c>
      <c r="N56">
        <f>Inputs!N56</f>
        <v>8.68320893928</v>
      </c>
      <c r="O56">
        <f>Inputs!O56</f>
        <v>7.6005317392799991</v>
      </c>
      <c r="P56">
        <f>Inputs!P56</f>
        <v>1.0826772</v>
      </c>
      <c r="Q56">
        <f>Inputs!Q56</f>
        <v>884.58239332469998</v>
      </c>
      <c r="R56" t="str">
        <f>Inputs!R56</f>
        <v>Town Assessor</v>
      </c>
      <c r="S56" t="str">
        <f>Inputs!S56</f>
        <v xml:space="preserve"> 4-108</v>
      </c>
      <c r="T56">
        <f>Inputs!T56</f>
        <v>102800</v>
      </c>
      <c r="U56">
        <f>Inputs!U56</f>
        <v>146786</v>
      </c>
      <c r="V56">
        <f>IF(Inputs!V56=0,2020,Inputs!V56)</f>
        <v>2019</v>
      </c>
      <c r="W56">
        <f>Inputs!W56</f>
        <v>1965</v>
      </c>
      <c r="X56" t="str">
        <f>IF(Inputs!X56=0,"UNK",Inputs!X56)</f>
        <v>RES1</v>
      </c>
      <c r="Y56" t="str">
        <f>Inputs!Y56</f>
        <v>No</v>
      </c>
      <c r="Z56" t="str">
        <f>Inputs!Z56</f>
        <v>Slab</v>
      </c>
      <c r="AA56">
        <f>Inputs!AA56</f>
        <v>512</v>
      </c>
      <c r="AB56">
        <f>IF(Z56="Piers",MIN(2,Inputs!AB56),Inputs!AB56)</f>
        <v>1</v>
      </c>
      <c r="AC56">
        <f>Inputs!AC56</f>
        <v>1</v>
      </c>
      <c r="AD56">
        <f>Inputs!AD56</f>
        <v>0</v>
      </c>
      <c r="AE56">
        <f>Inputs!AE56</f>
        <v>0</v>
      </c>
      <c r="AF56">
        <f>Inputs!AF56</f>
        <v>0</v>
      </c>
      <c r="AG56">
        <f>Inputs!AG56</f>
        <v>2.2200000000000002</v>
      </c>
      <c r="AH56" t="str">
        <f>Inputs!AH56</f>
        <v>https://www.axisgis.com/AquinnahMA/Docs/Batch/Vision%20Property%20Card/Vision%20ID_%20844.pdf</v>
      </c>
      <c r="AI56" t="str">
        <f>Inputs!AI56</f>
        <v>summer rental/guest house - should we make the population multiplier 0?</v>
      </c>
      <c r="AJ56" t="str">
        <f>Inputs!AJ56</f>
        <v>17 Lobsterville Road Aquinnah, MA 02535</v>
      </c>
      <c r="AK56" t="str">
        <f t="shared" si="16"/>
        <v>Res</v>
      </c>
      <c r="AL56" t="str">
        <f t="shared" si="6"/>
        <v>RES1.1.Slab</v>
      </c>
      <c r="AM56">
        <f t="shared" si="17"/>
        <v>1</v>
      </c>
      <c r="AN56">
        <f t="shared" si="7"/>
        <v>7.68320893928</v>
      </c>
      <c r="AO56">
        <f t="shared" si="18"/>
        <v>19</v>
      </c>
      <c r="AP56">
        <f ca="1">OFFSET(Coastal_DDF!$F$10,0,AO56,1,1)</f>
        <v>7</v>
      </c>
      <c r="AQ56">
        <f ca="1">OFFSET(Coastal_DDF!$F$10,0,AO56+1,1,1)</f>
        <v>8</v>
      </c>
      <c r="AR56">
        <f ca="1">OFFSET(Coastal_DDF!$F$10,AM56,AO56,1,1)</f>
        <v>55</v>
      </c>
      <c r="AS56">
        <f ca="1">OFFSET(Coastal_DDF!$F$10,AM56,AO56+1,1,1)</f>
        <v>58.333333333333336</v>
      </c>
      <c r="AT56">
        <f t="shared" ca="1" si="8"/>
        <v>3.3333333333333357</v>
      </c>
      <c r="AU56">
        <f t="shared" ca="1" si="9"/>
        <v>57.277363130933338</v>
      </c>
      <c r="AV56">
        <f t="shared" ca="1" si="10"/>
        <v>84075.150245371799</v>
      </c>
      <c r="AW56">
        <f t="shared" ca="1" si="19"/>
        <v>85523.111166264294</v>
      </c>
      <c r="AX56">
        <f t="shared" si="11"/>
        <v>6.6005317392799991</v>
      </c>
      <c r="AY56">
        <f t="shared" si="20"/>
        <v>18</v>
      </c>
      <c r="AZ56">
        <f ca="1">OFFSET(Coastal_DDF!$F$10,0,AY56,1,1)</f>
        <v>6</v>
      </c>
      <c r="BA56">
        <f ca="1">OFFSET(Coastal_DDF!$F$10,0,AY56+1,1,1)</f>
        <v>7</v>
      </c>
      <c r="BB56">
        <f ca="1">OFFSET(Coastal_DDF!$F$10,AM56,AY56,1,1)</f>
        <v>48.5</v>
      </c>
      <c r="BC56">
        <f ca="1">OFFSET(Coastal_DDF!$F$10,AM56,AY56+1,1,1)</f>
        <v>55</v>
      </c>
      <c r="BD56">
        <f t="shared" ca="1" si="12"/>
        <v>6.5</v>
      </c>
      <c r="BE56">
        <f t="shared" ca="1" si="13"/>
        <v>52.403456305319992</v>
      </c>
      <c r="BF56">
        <f t="shared" ca="1" si="14"/>
        <v>76920.937372327011</v>
      </c>
      <c r="BG56">
        <f t="shared" ca="1" si="21"/>
        <v>78245.686849294856</v>
      </c>
    </row>
    <row r="57" spans="1:59" x14ac:dyDescent="0.25">
      <c r="A57">
        <f>Inputs!A57</f>
        <v>100</v>
      </c>
      <c r="B57" t="str">
        <f>Inputs!B57</f>
        <v>NFWF-43322</v>
      </c>
      <c r="C57">
        <f>Inputs!C57</f>
        <v>3</v>
      </c>
      <c r="D57" t="str">
        <f>Inputs!D57</f>
        <v>MA_NFWF_43322_3_0005</v>
      </c>
      <c r="E57">
        <f>Inputs!E57</f>
        <v>10</v>
      </c>
      <c r="F57">
        <f>Inputs!F57</f>
        <v>0</v>
      </c>
      <c r="G57">
        <f>Inputs!G57</f>
        <v>173.85028</v>
      </c>
      <c r="H57">
        <f>Inputs!H57</f>
        <v>2.1247560000000001</v>
      </c>
      <c r="I57">
        <f>Inputs!I57</f>
        <v>1.7947550000000001</v>
      </c>
      <c r="J57">
        <f>Inputs!J57</f>
        <v>0.33</v>
      </c>
      <c r="K57">
        <f>Inputs!K57</f>
        <v>4.9000000000000004</v>
      </c>
      <c r="L57" t="str">
        <f>Inputs!L57</f>
        <v>C</v>
      </c>
      <c r="M57">
        <f>Inputs!M57</f>
        <v>0</v>
      </c>
      <c r="N57">
        <f>Inputs!N57</f>
        <v>6.9709844750399999</v>
      </c>
      <c r="O57">
        <f>Inputs!O57</f>
        <v>5.8883039942000002</v>
      </c>
      <c r="P57">
        <f>Inputs!P57</f>
        <v>1.0826772</v>
      </c>
      <c r="Q57">
        <f>Inputs!Q57</f>
        <v>1871.3070288919998</v>
      </c>
      <c r="R57" t="str">
        <f>Inputs!R57</f>
        <v>Town Assessor</v>
      </c>
      <c r="S57" t="str">
        <f>Inputs!S57</f>
        <v xml:space="preserve"> 4-108</v>
      </c>
      <c r="T57">
        <f>Inputs!T57</f>
        <v>93700</v>
      </c>
      <c r="U57">
        <f>Inputs!U57</f>
        <v>187468</v>
      </c>
      <c r="V57">
        <f>IF(Inputs!V57=0,2020,Inputs!V57)</f>
        <v>2019</v>
      </c>
      <c r="W57">
        <f>Inputs!W57</f>
        <v>1979</v>
      </c>
      <c r="X57" t="str">
        <f>IF(Inputs!X57=0,"UNK",Inputs!X57)</f>
        <v>RES1</v>
      </c>
      <c r="Y57" t="str">
        <f>Inputs!Y57</f>
        <v>No</v>
      </c>
      <c r="Z57" t="str">
        <f>Inputs!Z57</f>
        <v>Slab</v>
      </c>
      <c r="AA57">
        <f>Inputs!AA57</f>
        <v>800</v>
      </c>
      <c r="AB57">
        <f>IF(Z57="Piers",MIN(2,Inputs!AB57),Inputs!AB57)</f>
        <v>2</v>
      </c>
      <c r="AC57">
        <f>Inputs!AC57</f>
        <v>1</v>
      </c>
      <c r="AD57">
        <f>Inputs!AD57</f>
        <v>0</v>
      </c>
      <c r="AE57">
        <f>Inputs!AE57</f>
        <v>0</v>
      </c>
      <c r="AF57">
        <f>Inputs!AF57</f>
        <v>0</v>
      </c>
      <c r="AG57">
        <f>Inputs!AG57</f>
        <v>2.2200000000000002</v>
      </c>
      <c r="AH57" t="str">
        <f>Inputs!AH57</f>
        <v>https://www.axisgis.com/AquinnahMA/Docs/Batch/Vision%20Property%20Card/Vision%20ID_%20844.pdf</v>
      </c>
      <c r="AI57" t="str">
        <f>Inputs!AI57</f>
        <v>year round home/second home - should we make the population multiplier 0?</v>
      </c>
      <c r="AJ57" t="str">
        <f>Inputs!AJ57</f>
        <v>17 Lobsterville Road Aquinnah, MA 02535</v>
      </c>
      <c r="AK57" t="str">
        <f t="shared" si="16"/>
        <v>Res</v>
      </c>
      <c r="AL57" t="str">
        <f t="shared" si="6"/>
        <v>RES1.2.Slab</v>
      </c>
      <c r="AM57">
        <f t="shared" si="17"/>
        <v>2</v>
      </c>
      <c r="AN57">
        <f t="shared" si="7"/>
        <v>5.9709844750399999</v>
      </c>
      <c r="AO57">
        <f t="shared" si="18"/>
        <v>17</v>
      </c>
      <c r="AP57">
        <f ca="1">OFFSET(Coastal_DDF!$F$10,0,AO57,1,1)</f>
        <v>5</v>
      </c>
      <c r="AQ57">
        <f ca="1">OFFSET(Coastal_DDF!$F$10,0,AO57+1,1,1)</f>
        <v>6</v>
      </c>
      <c r="AR57">
        <f ca="1">OFFSET(Coastal_DDF!$F$10,AM57,AO57,1,1)</f>
        <v>30</v>
      </c>
      <c r="AS57">
        <f ca="1">OFFSET(Coastal_DDF!$F$10,AM57,AO57+1,1,1)</f>
        <v>40</v>
      </c>
      <c r="AT57">
        <f t="shared" ca="1" si="8"/>
        <v>10</v>
      </c>
      <c r="AU57">
        <f t="shared" ca="1" si="9"/>
        <v>39.709844750399995</v>
      </c>
      <c r="AV57">
        <f t="shared" ca="1" si="10"/>
        <v>74443.251756679863</v>
      </c>
      <c r="AW57">
        <f t="shared" ca="1" si="19"/>
        <v>75725.329981378221</v>
      </c>
      <c r="AX57">
        <f t="shared" si="11"/>
        <v>4.8883039942000002</v>
      </c>
      <c r="AY57">
        <f t="shared" si="20"/>
        <v>16</v>
      </c>
      <c r="AZ57">
        <f ca="1">OFFSET(Coastal_DDF!$F$10,0,AY57,1,1)</f>
        <v>4</v>
      </c>
      <c r="BA57">
        <f ca="1">OFFSET(Coastal_DDF!$F$10,0,AY57+1,1,1)</f>
        <v>5</v>
      </c>
      <c r="BB57">
        <f ca="1">OFFSET(Coastal_DDF!$F$10,AM57,AY57,1,1)</f>
        <v>27.5</v>
      </c>
      <c r="BC57">
        <f ca="1">OFFSET(Coastal_DDF!$F$10,AM57,AY57+1,1,1)</f>
        <v>30</v>
      </c>
      <c r="BD57">
        <f t="shared" ca="1" si="12"/>
        <v>2.5</v>
      </c>
      <c r="BE57">
        <f t="shared" ca="1" si="13"/>
        <v>29.720759985499999</v>
      </c>
      <c r="BF57">
        <f t="shared" ca="1" si="14"/>
        <v>55716.914329617139</v>
      </c>
      <c r="BG57">
        <f t="shared" ca="1" si="21"/>
        <v>56676.483409738314</v>
      </c>
    </row>
    <row r="58" spans="1:59" x14ac:dyDescent="0.25">
      <c r="A58">
        <f>Inputs!A58</f>
        <v>100</v>
      </c>
      <c r="B58" t="str">
        <f>Inputs!B58</f>
        <v>NFWF-43322</v>
      </c>
      <c r="C58">
        <f>Inputs!C58</f>
        <v>3</v>
      </c>
      <c r="D58" t="str">
        <f>Inputs!D58</f>
        <v>MA_NFWF_43322_3_0002</v>
      </c>
      <c r="E58">
        <f>Inputs!E58</f>
        <v>12</v>
      </c>
      <c r="F58">
        <f>Inputs!F58</f>
        <v>0</v>
      </c>
      <c r="G58">
        <f>Inputs!G58</f>
        <v>137.85180800000001</v>
      </c>
      <c r="H58">
        <f>Inputs!H58</f>
        <v>2.0331809999999999</v>
      </c>
      <c r="I58">
        <f>Inputs!I58</f>
        <v>1.683181</v>
      </c>
      <c r="J58">
        <f>Inputs!J58</f>
        <v>0.35</v>
      </c>
      <c r="K58">
        <f>Inputs!K58</f>
        <v>4.9000000000000004</v>
      </c>
      <c r="L58" t="str">
        <f>Inputs!L58</f>
        <v>C</v>
      </c>
      <c r="M58">
        <f>Inputs!M58</f>
        <v>0</v>
      </c>
      <c r="N58">
        <f>Inputs!N58</f>
        <v>6.6705415520399995</v>
      </c>
      <c r="O58">
        <f>Inputs!O58</f>
        <v>5.5222475520400005</v>
      </c>
      <c r="P58">
        <f>Inputs!P58</f>
        <v>1.1482939999999999</v>
      </c>
      <c r="Q58">
        <f>Inputs!Q58</f>
        <v>1483.8230761312</v>
      </c>
      <c r="R58" t="str">
        <f>Inputs!R58</f>
        <v>Town Assessor</v>
      </c>
      <c r="S58" t="str">
        <f>Inputs!S58</f>
        <v>4-61</v>
      </c>
      <c r="T58">
        <f>Inputs!T58</f>
        <v>40200</v>
      </c>
      <c r="U58">
        <f>Inputs!U58</f>
        <v>67245</v>
      </c>
      <c r="V58">
        <f>IF(Inputs!V58=0,2020,Inputs!V58)</f>
        <v>2019</v>
      </c>
      <c r="W58">
        <f>Inputs!W58</f>
        <v>1939</v>
      </c>
      <c r="X58" t="str">
        <f>IF(Inputs!X58=0,"UNK",Inputs!X58)</f>
        <v>RES1</v>
      </c>
      <c r="Y58" t="str">
        <f>Inputs!Y58</f>
        <v>No</v>
      </c>
      <c r="Z58" t="str">
        <f>Inputs!Z58</f>
        <v>Slab</v>
      </c>
      <c r="AA58">
        <f>Inputs!AA58</f>
        <v>484</v>
      </c>
      <c r="AB58">
        <f>IF(Z58="Piers",MIN(2,Inputs!AB58),Inputs!AB58)</f>
        <v>1</v>
      </c>
      <c r="AC58">
        <f>Inputs!AC58</f>
        <v>1</v>
      </c>
      <c r="AD58">
        <f>Inputs!AD58</f>
        <v>0</v>
      </c>
      <c r="AE58">
        <f>Inputs!AE58</f>
        <v>0</v>
      </c>
      <c r="AF58">
        <f>Inputs!AF58</f>
        <v>0</v>
      </c>
      <c r="AG58">
        <f>Inputs!AG58</f>
        <v>2.2200000000000002</v>
      </c>
      <c r="AH58" t="str">
        <f>Inputs!AH58</f>
        <v>https://www.axisgis.com/AquinnahMA/Docs/Batch/Vision%20Property%20Card/Vision%20ID_%20783.pdf</v>
      </c>
      <c r="AI58" t="str">
        <f>Inputs!AI58</f>
        <v>second home - should we make the population multiplier 0?</v>
      </c>
      <c r="AJ58" t="str">
        <f>Inputs!AJ58</f>
        <v>23 Lobsterville Road Aquinnah, MA 02535</v>
      </c>
      <c r="AK58" t="str">
        <f t="shared" si="16"/>
        <v>Res</v>
      </c>
      <c r="AL58" t="str">
        <f t="shared" si="6"/>
        <v>RES1.1.Slab</v>
      </c>
      <c r="AM58">
        <f t="shared" si="17"/>
        <v>1</v>
      </c>
      <c r="AN58">
        <f t="shared" si="7"/>
        <v>5.6705415520399995</v>
      </c>
      <c r="AO58">
        <f t="shared" si="18"/>
        <v>17</v>
      </c>
      <c r="AP58">
        <f ca="1">OFFSET(Coastal_DDF!$F$10,0,AO58,1,1)</f>
        <v>5</v>
      </c>
      <c r="AQ58">
        <f ca="1">OFFSET(Coastal_DDF!$F$10,0,AO58+1,1,1)</f>
        <v>6</v>
      </c>
      <c r="AR58">
        <f ca="1">OFFSET(Coastal_DDF!$F$10,AM58,AO58,1,1)</f>
        <v>42</v>
      </c>
      <c r="AS58">
        <f ca="1">OFFSET(Coastal_DDF!$F$10,AM58,AO58+1,1,1)</f>
        <v>48.5</v>
      </c>
      <c r="AT58">
        <f t="shared" ca="1" si="8"/>
        <v>6.5</v>
      </c>
      <c r="AU58">
        <f t="shared" ca="1" si="9"/>
        <v>46.358520088259993</v>
      </c>
      <c r="AV58">
        <f t="shared" ca="1" si="10"/>
        <v>31173.78683335043</v>
      </c>
      <c r="AW58">
        <f t="shared" ca="1" si="19"/>
        <v>31710.668717702571</v>
      </c>
      <c r="AX58">
        <f t="shared" si="11"/>
        <v>4.5222475520400005</v>
      </c>
      <c r="AY58">
        <f t="shared" si="20"/>
        <v>16</v>
      </c>
      <c r="AZ58">
        <f ca="1">OFFSET(Coastal_DDF!$F$10,0,AY58,1,1)</f>
        <v>4</v>
      </c>
      <c r="BA58">
        <f ca="1">OFFSET(Coastal_DDF!$F$10,0,AY58+1,1,1)</f>
        <v>5</v>
      </c>
      <c r="BB58">
        <f ca="1">OFFSET(Coastal_DDF!$F$10,AM58,AY58,1,1)</f>
        <v>37.5</v>
      </c>
      <c r="BC58">
        <f ca="1">OFFSET(Coastal_DDF!$F$10,AM58,AY58+1,1,1)</f>
        <v>42</v>
      </c>
      <c r="BD58">
        <f t="shared" ca="1" si="12"/>
        <v>4.5</v>
      </c>
      <c r="BE58">
        <f t="shared" ca="1" si="13"/>
        <v>39.850113984180005</v>
      </c>
      <c r="BF58">
        <f t="shared" ca="1" si="14"/>
        <v>26797.209148661845</v>
      </c>
      <c r="BG58">
        <f t="shared" ca="1" si="21"/>
        <v>27258.71663955546</v>
      </c>
    </row>
    <row r="59" spans="1:59" x14ac:dyDescent="0.25">
      <c r="A59">
        <f>Inputs!A59</f>
        <v>2</v>
      </c>
      <c r="B59" t="str">
        <f>Inputs!B59</f>
        <v>NFWF-44167</v>
      </c>
      <c r="C59">
        <f>Inputs!C59</f>
        <v>1</v>
      </c>
      <c r="D59" t="str">
        <f>Inputs!D59</f>
        <v>MD_NFWF_44167_1_0001</v>
      </c>
      <c r="E59">
        <f>Inputs!E59</f>
        <v>5</v>
      </c>
      <c r="F59">
        <f>Inputs!F59</f>
        <v>0</v>
      </c>
      <c r="G59">
        <f>Inputs!G59</f>
        <v>112.473131</v>
      </c>
      <c r="H59">
        <f>Inputs!H59</f>
        <v>0.55951700000000004</v>
      </c>
      <c r="I59">
        <f>Inputs!I59</f>
        <v>-0.210483</v>
      </c>
      <c r="J59">
        <f>Inputs!J59</f>
        <v>0.55951700000000004</v>
      </c>
      <c r="K59">
        <f>Inputs!K59</f>
        <v>5.12</v>
      </c>
      <c r="L59" t="str">
        <f>Inputs!L59</f>
        <v>C</v>
      </c>
      <c r="M59">
        <f>Inputs!M59</f>
        <v>0</v>
      </c>
      <c r="N59">
        <f>Inputs!N59</f>
        <v>1.83568575428</v>
      </c>
      <c r="O59">
        <f>Inputs!O59</f>
        <v>-0.69056104571999999</v>
      </c>
      <c r="P59">
        <f>Inputs!P59</f>
        <v>1.83568575428</v>
      </c>
      <c r="Q59">
        <f>Inputs!Q59</f>
        <v>1210.6495347708999</v>
      </c>
      <c r="R59" t="str">
        <f>Inputs!R59</f>
        <v>County Property Assessor</v>
      </c>
      <c r="S59" t="str">
        <f>Inputs!S59</f>
        <v>03-049809</v>
      </c>
      <c r="T59">
        <f>Inputs!T59</f>
        <v>199500</v>
      </c>
      <c r="U59">
        <f>Inputs!U59</f>
        <v>138470.40000000002</v>
      </c>
      <c r="V59">
        <f>IF(Inputs!V59=0,2020,Inputs!V59)</f>
        <v>2020</v>
      </c>
      <c r="W59">
        <f>Inputs!W59</f>
        <v>1930</v>
      </c>
      <c r="X59" t="str">
        <f>IF(Inputs!X59=0,"UNK",Inputs!X59)</f>
        <v>RES1</v>
      </c>
      <c r="Y59" t="str">
        <f>Inputs!Y59</f>
        <v>No</v>
      </c>
      <c r="Z59" t="str">
        <f>Inputs!Z59</f>
        <v>Slab</v>
      </c>
      <c r="AA59">
        <f>Inputs!AA59</f>
        <v>1536</v>
      </c>
      <c r="AB59">
        <f>IF(Z59="Piers",MIN(2,Inputs!AB59),Inputs!AB59)</f>
        <v>2</v>
      </c>
      <c r="AC59">
        <f>Inputs!AC59</f>
        <v>1</v>
      </c>
      <c r="AD59">
        <f>Inputs!AD59</f>
        <v>90.15</v>
      </c>
      <c r="AE59">
        <f>Inputs!AE59</f>
        <v>2006</v>
      </c>
      <c r="AF59">
        <f>Inputs!AF59</f>
        <v>0</v>
      </c>
      <c r="AG59">
        <f>Inputs!AG59</f>
        <v>2.85</v>
      </c>
      <c r="AH59" t="str">
        <f>Inputs!AH59</f>
        <v>https://sdat.dat.maryland.gov/RealProperty/Pages/default.aspx</v>
      </c>
      <c r="AI59" t="str">
        <f>Inputs!AI59</f>
        <v>Calvert County</v>
      </c>
      <c r="AJ59" t="str">
        <f>Inputs!AJ59</f>
        <v>9333 Bay Ave North Beach MD 20714</v>
      </c>
      <c r="AK59" t="str">
        <f t="shared" si="16"/>
        <v>Res</v>
      </c>
      <c r="AL59" t="str">
        <f t="shared" si="6"/>
        <v>RES1.2.Slab</v>
      </c>
      <c r="AM59">
        <f t="shared" si="17"/>
        <v>2</v>
      </c>
      <c r="AN59">
        <f t="shared" si="7"/>
        <v>0.83568575428000003</v>
      </c>
      <c r="AO59">
        <f t="shared" si="18"/>
        <v>12</v>
      </c>
      <c r="AP59">
        <f ca="1">OFFSET(Coastal_DDF!$F$10,0,AO59,1,1)</f>
        <v>0.5</v>
      </c>
      <c r="AQ59">
        <f ca="1">OFFSET(Coastal_DDF!$F$10,0,AO59+1,1,1)</f>
        <v>1</v>
      </c>
      <c r="AR59">
        <f ca="1">OFFSET(Coastal_DDF!$F$10,AM59,AO59,1,1)</f>
        <v>10</v>
      </c>
      <c r="AS59">
        <f ca="1">OFFSET(Coastal_DDF!$F$10,AM59,AO59+1,1,1)</f>
        <v>15</v>
      </c>
      <c r="AT59">
        <f t="shared" ca="1" si="8"/>
        <v>10</v>
      </c>
      <c r="AU59">
        <f t="shared" ca="1" si="9"/>
        <v>13.3568575428</v>
      </c>
      <c r="AV59">
        <f t="shared" ca="1" si="10"/>
        <v>18495.294066945335</v>
      </c>
      <c r="AW59">
        <f t="shared" ca="1" si="19"/>
        <v>18495.294066945335</v>
      </c>
      <c r="AX59">
        <f t="shared" si="11"/>
        <v>-99</v>
      </c>
      <c r="AY59" t="e">
        <f t="shared" si="20"/>
        <v>#N/A</v>
      </c>
      <c r="AZ59" t="e">
        <f ca="1">OFFSET(Coastal_DDF!$F$10,0,AY59,1,1)</f>
        <v>#N/A</v>
      </c>
      <c r="BA59" t="e">
        <f ca="1">OFFSET(Coastal_DDF!$F$10,0,AY59+1,1,1)</f>
        <v>#N/A</v>
      </c>
      <c r="BB59" t="e">
        <f ca="1">OFFSET(Coastal_DDF!$F$10,AM59,AY59,1,1)</f>
        <v>#N/A</v>
      </c>
      <c r="BC59" t="e">
        <f ca="1">OFFSET(Coastal_DDF!$F$10,AM59,AY59+1,1,1)</f>
        <v>#N/A</v>
      </c>
      <c r="BD59" t="e">
        <f t="shared" ca="1" si="12"/>
        <v>#N/A</v>
      </c>
      <c r="BE59" t="e">
        <f t="shared" ca="1" si="13"/>
        <v>#N/A</v>
      </c>
      <c r="BF59" t="e">
        <f t="shared" ca="1" si="14"/>
        <v>#N/A</v>
      </c>
      <c r="BG59">
        <f t="shared" si="21"/>
        <v>0</v>
      </c>
    </row>
    <row r="60" spans="1:59" x14ac:dyDescent="0.25">
      <c r="A60">
        <f>Inputs!A60</f>
        <v>20</v>
      </c>
      <c r="B60" t="str">
        <f>Inputs!B60</f>
        <v>NFWF-44167</v>
      </c>
      <c r="C60">
        <f>Inputs!C60</f>
        <v>1</v>
      </c>
      <c r="D60" t="str">
        <f>Inputs!D60</f>
        <v>MD_NFWF_44167_1_0001</v>
      </c>
      <c r="E60">
        <f>Inputs!E60</f>
        <v>5</v>
      </c>
      <c r="F60">
        <f>Inputs!F60</f>
        <v>0</v>
      </c>
      <c r="G60">
        <f>Inputs!G60</f>
        <v>112.473131</v>
      </c>
      <c r="H60">
        <f>Inputs!H60</f>
        <v>2.1701009999999998</v>
      </c>
      <c r="I60">
        <f>Inputs!I60</f>
        <v>2.1401020000000002</v>
      </c>
      <c r="J60">
        <f>Inputs!J60</f>
        <v>0.03</v>
      </c>
      <c r="K60">
        <f>Inputs!K60</f>
        <v>5.12</v>
      </c>
      <c r="L60" t="str">
        <f>Inputs!L60</f>
        <v>C</v>
      </c>
      <c r="M60">
        <f>Inputs!M60</f>
        <v>0</v>
      </c>
      <c r="N60">
        <f>Inputs!N60</f>
        <v>7.1197541648399998</v>
      </c>
      <c r="O60">
        <f>Inputs!O60</f>
        <v>7.0213322456800009</v>
      </c>
      <c r="P60">
        <f>Inputs!P60</f>
        <v>9.842519999999999E-2</v>
      </c>
      <c r="Q60">
        <f>Inputs!Q60</f>
        <v>1210.6495347708999</v>
      </c>
      <c r="R60" t="str">
        <f>Inputs!R60</f>
        <v>County Property Assessor</v>
      </c>
      <c r="S60" t="str">
        <f>Inputs!S60</f>
        <v>03-049809</v>
      </c>
      <c r="T60">
        <f>Inputs!T60</f>
        <v>199500</v>
      </c>
      <c r="U60">
        <f>Inputs!U60</f>
        <v>138470.40000000002</v>
      </c>
      <c r="V60">
        <f>IF(Inputs!V60=0,2020,Inputs!V60)</f>
        <v>2020</v>
      </c>
      <c r="W60">
        <f>Inputs!W60</f>
        <v>1930</v>
      </c>
      <c r="X60" t="str">
        <f>IF(Inputs!X60=0,"UNK",Inputs!X60)</f>
        <v>RES1</v>
      </c>
      <c r="Y60" t="str">
        <f>Inputs!Y60</f>
        <v>No</v>
      </c>
      <c r="Z60" t="str">
        <f>Inputs!Z60</f>
        <v>Slab</v>
      </c>
      <c r="AA60">
        <f>Inputs!AA60</f>
        <v>1536</v>
      </c>
      <c r="AB60">
        <f>IF(Z60="Piers",MIN(2,Inputs!AB60),Inputs!AB60)</f>
        <v>2</v>
      </c>
      <c r="AC60">
        <f>Inputs!AC60</f>
        <v>1</v>
      </c>
      <c r="AD60">
        <f>Inputs!AD60</f>
        <v>90.15</v>
      </c>
      <c r="AE60">
        <f>Inputs!AE60</f>
        <v>2006</v>
      </c>
      <c r="AF60">
        <f>Inputs!AF60</f>
        <v>0</v>
      </c>
      <c r="AG60">
        <f>Inputs!AG60</f>
        <v>2.85</v>
      </c>
      <c r="AH60" t="str">
        <f>Inputs!AH60</f>
        <v>https://sdat.dat.maryland.gov/RealProperty/Pages/default.aspx</v>
      </c>
      <c r="AI60" t="str">
        <f>Inputs!AI60</f>
        <v>Calvert County</v>
      </c>
      <c r="AJ60" t="str">
        <f>Inputs!AJ60</f>
        <v>9333 Bay Ave North Beach MD 20714</v>
      </c>
      <c r="AK60" t="str">
        <f t="shared" si="16"/>
        <v>Res</v>
      </c>
      <c r="AL60" t="str">
        <f t="shared" si="6"/>
        <v>RES1.2.Slab</v>
      </c>
      <c r="AM60">
        <f t="shared" si="17"/>
        <v>2</v>
      </c>
      <c r="AN60">
        <f t="shared" si="7"/>
        <v>6.1197541648399998</v>
      </c>
      <c r="AO60">
        <f t="shared" si="18"/>
        <v>18</v>
      </c>
      <c r="AP60">
        <f ca="1">OFFSET(Coastal_DDF!$F$10,0,AO60,1,1)</f>
        <v>6</v>
      </c>
      <c r="AQ60">
        <f ca="1">OFFSET(Coastal_DDF!$F$10,0,AO60+1,1,1)</f>
        <v>7</v>
      </c>
      <c r="AR60">
        <f ca="1">OFFSET(Coastal_DDF!$F$10,AM60,AO60,1,1)</f>
        <v>40</v>
      </c>
      <c r="AS60">
        <f ca="1">OFFSET(Coastal_DDF!$F$10,AM60,AO60+1,1,1)</f>
        <v>50</v>
      </c>
      <c r="AT60">
        <f t="shared" ca="1" si="8"/>
        <v>10</v>
      </c>
      <c r="AU60">
        <f t="shared" ca="1" si="9"/>
        <v>41.197541648399998</v>
      </c>
      <c r="AV60">
        <f t="shared" ca="1" si="10"/>
        <v>57046.400710706082</v>
      </c>
      <c r="AW60">
        <f t="shared" ca="1" si="19"/>
        <v>57046.400710706082</v>
      </c>
      <c r="AX60">
        <f t="shared" si="11"/>
        <v>6.0213322456800009</v>
      </c>
      <c r="AY60">
        <f t="shared" si="20"/>
        <v>18</v>
      </c>
      <c r="AZ60">
        <f ca="1">OFFSET(Coastal_DDF!$F$10,0,AY60,1,1)</f>
        <v>6</v>
      </c>
      <c r="BA60">
        <f ca="1">OFFSET(Coastal_DDF!$F$10,0,AY60+1,1,1)</f>
        <v>7</v>
      </c>
      <c r="BB60">
        <f ca="1">OFFSET(Coastal_DDF!$F$10,AM60,AY60,1,1)</f>
        <v>40</v>
      </c>
      <c r="BC60">
        <f ca="1">OFFSET(Coastal_DDF!$F$10,AM60,AY60+1,1,1)</f>
        <v>50</v>
      </c>
      <c r="BD60">
        <f t="shared" ca="1" si="12"/>
        <v>10</v>
      </c>
      <c r="BE60">
        <f t="shared" ca="1" si="13"/>
        <v>40.213322456800007</v>
      </c>
      <c r="BF60">
        <f t="shared" ca="1" si="14"/>
        <v>55683.548459220801</v>
      </c>
      <c r="BG60">
        <f t="shared" ca="1" si="21"/>
        <v>55683.548459220801</v>
      </c>
    </row>
    <row r="61" spans="1:59" x14ac:dyDescent="0.25">
      <c r="A61">
        <f>Inputs!A61</f>
        <v>100</v>
      </c>
      <c r="B61" t="str">
        <f>Inputs!B61</f>
        <v>NFWF-44167</v>
      </c>
      <c r="C61">
        <f>Inputs!C61</f>
        <v>1</v>
      </c>
      <c r="D61" t="str">
        <f>Inputs!D61</f>
        <v>MD_NFWF_44167_1_0001</v>
      </c>
      <c r="E61">
        <f>Inputs!E61</f>
        <v>5</v>
      </c>
      <c r="F61">
        <f>Inputs!F61</f>
        <v>0</v>
      </c>
      <c r="G61">
        <f>Inputs!G61</f>
        <v>112.473131</v>
      </c>
      <c r="H61">
        <f>Inputs!H61</f>
        <v>2.9621010000000001</v>
      </c>
      <c r="I61">
        <f>Inputs!I61</f>
        <v>2.892102</v>
      </c>
      <c r="J61">
        <f>Inputs!J61</f>
        <v>7.0000000000000007E-2</v>
      </c>
      <c r="K61">
        <f>Inputs!K61</f>
        <v>5.12</v>
      </c>
      <c r="L61" t="str">
        <f>Inputs!L61</f>
        <v>C</v>
      </c>
      <c r="M61">
        <f>Inputs!M61</f>
        <v>0</v>
      </c>
      <c r="N61">
        <f>Inputs!N61</f>
        <v>9.7181794448400005</v>
      </c>
      <c r="O61">
        <f>Inputs!O61</f>
        <v>9.4885239256799991</v>
      </c>
      <c r="P61">
        <f>Inputs!P61</f>
        <v>0.22965880000000002</v>
      </c>
      <c r="Q61">
        <f>Inputs!Q61</f>
        <v>1210.6495347708999</v>
      </c>
      <c r="R61" t="str">
        <f>Inputs!R61</f>
        <v>County Property Assessor</v>
      </c>
      <c r="S61" t="str">
        <f>Inputs!S61</f>
        <v>03-049809</v>
      </c>
      <c r="T61">
        <f>Inputs!T61</f>
        <v>199500</v>
      </c>
      <c r="U61">
        <f>Inputs!U61</f>
        <v>138470.40000000002</v>
      </c>
      <c r="V61">
        <f>IF(Inputs!V61=0,2020,Inputs!V61)</f>
        <v>2020</v>
      </c>
      <c r="W61">
        <f>Inputs!W61</f>
        <v>1930</v>
      </c>
      <c r="X61" t="str">
        <f>IF(Inputs!X61=0,"UNK",Inputs!X61)</f>
        <v>RES1</v>
      </c>
      <c r="Y61" t="str">
        <f>Inputs!Y61</f>
        <v>No</v>
      </c>
      <c r="Z61" t="str">
        <f>Inputs!Z61</f>
        <v>Slab</v>
      </c>
      <c r="AA61">
        <f>Inputs!AA61</f>
        <v>1536</v>
      </c>
      <c r="AB61">
        <f>IF(Z61="Piers",MIN(2,Inputs!AB61),Inputs!AB61)</f>
        <v>2</v>
      </c>
      <c r="AC61">
        <f>Inputs!AC61</f>
        <v>1</v>
      </c>
      <c r="AD61">
        <f>Inputs!AD61</f>
        <v>90.15</v>
      </c>
      <c r="AE61">
        <f>Inputs!AE61</f>
        <v>2006</v>
      </c>
      <c r="AF61">
        <f>Inputs!AF61</f>
        <v>0</v>
      </c>
      <c r="AG61">
        <f>Inputs!AG61</f>
        <v>2.85</v>
      </c>
      <c r="AH61" t="str">
        <f>Inputs!AH61</f>
        <v>https://sdat.dat.maryland.gov/RealProperty/Pages/default.aspx</v>
      </c>
      <c r="AI61" t="str">
        <f>Inputs!AI61</f>
        <v>Calvert County</v>
      </c>
      <c r="AJ61" t="str">
        <f>Inputs!AJ61</f>
        <v>9333 Bay Ave North Beach MD 20714</v>
      </c>
      <c r="AK61" t="str">
        <f t="shared" si="16"/>
        <v>Res</v>
      </c>
      <c r="AL61" t="str">
        <f t="shared" si="6"/>
        <v>RES1.2.Slab</v>
      </c>
      <c r="AM61">
        <f t="shared" si="17"/>
        <v>2</v>
      </c>
      <c r="AN61">
        <f t="shared" si="7"/>
        <v>8.7181794448400005</v>
      </c>
      <c r="AO61">
        <f t="shared" si="18"/>
        <v>20</v>
      </c>
      <c r="AP61">
        <f ca="1">OFFSET(Coastal_DDF!$F$10,0,AO61,1,1)</f>
        <v>8</v>
      </c>
      <c r="AQ61">
        <f ca="1">OFFSET(Coastal_DDF!$F$10,0,AO61+1,1,1)</f>
        <v>9</v>
      </c>
      <c r="AR61">
        <f ca="1">OFFSET(Coastal_DDF!$F$10,AM61,AO61,1,1)</f>
        <v>53.333333333333336</v>
      </c>
      <c r="AS61">
        <f ca="1">OFFSET(Coastal_DDF!$F$10,AM61,AO61+1,1,1)</f>
        <v>56.666666666666664</v>
      </c>
      <c r="AT61">
        <f t="shared" ca="1" si="8"/>
        <v>3.3333333333333286</v>
      </c>
      <c r="AU61">
        <f t="shared" ca="1" si="9"/>
        <v>55.727264816133335</v>
      </c>
      <c r="AV61">
        <f t="shared" ca="1" si="10"/>
        <v>77165.766499959107</v>
      </c>
      <c r="AW61">
        <f t="shared" ca="1" si="19"/>
        <v>77165.766499959107</v>
      </c>
      <c r="AX61">
        <f t="shared" si="11"/>
        <v>8.4885239256799991</v>
      </c>
      <c r="AY61">
        <f t="shared" si="20"/>
        <v>20</v>
      </c>
      <c r="AZ61">
        <f ca="1">OFFSET(Coastal_DDF!$F$10,0,AY61,1,1)</f>
        <v>8</v>
      </c>
      <c r="BA61">
        <f ca="1">OFFSET(Coastal_DDF!$F$10,0,AY61+1,1,1)</f>
        <v>9</v>
      </c>
      <c r="BB61">
        <f ca="1">OFFSET(Coastal_DDF!$F$10,AM61,AY61,1,1)</f>
        <v>53.333333333333336</v>
      </c>
      <c r="BC61">
        <f ca="1">OFFSET(Coastal_DDF!$F$10,AM61,AY61+1,1,1)</f>
        <v>56.666666666666664</v>
      </c>
      <c r="BD61">
        <f t="shared" ca="1" si="12"/>
        <v>3.3333333333333286</v>
      </c>
      <c r="BE61">
        <f t="shared" ca="1" si="13"/>
        <v>54.96174641893333</v>
      </c>
      <c r="BF61">
        <f t="shared" ca="1" si="14"/>
        <v>76105.750113282673</v>
      </c>
      <c r="BG61">
        <f t="shared" ca="1" si="21"/>
        <v>76105.750113282673</v>
      </c>
    </row>
    <row r="62" spans="1:59" x14ac:dyDescent="0.25">
      <c r="A62">
        <f>Inputs!A62</f>
        <v>20</v>
      </c>
      <c r="B62" t="str">
        <f>Inputs!B62</f>
        <v>NFWF-44167</v>
      </c>
      <c r="C62">
        <f>Inputs!C62</f>
        <v>1</v>
      </c>
      <c r="D62" t="str">
        <f>Inputs!D62</f>
        <v>MD_NFWF_44167_1_0002</v>
      </c>
      <c r="E62">
        <f>Inputs!E62</f>
        <v>8</v>
      </c>
      <c r="F62">
        <f>Inputs!F62</f>
        <v>0</v>
      </c>
      <c r="G62">
        <f>Inputs!G62</f>
        <v>129.28858500000001</v>
      </c>
      <c r="H62">
        <f>Inputs!H62</f>
        <v>0.96024900000000002</v>
      </c>
      <c r="I62">
        <f>Inputs!I62</f>
        <v>0.92024899999999998</v>
      </c>
      <c r="J62">
        <f>Inputs!J62</f>
        <v>0.04</v>
      </c>
      <c r="K62">
        <f>Inputs!K62</f>
        <v>5.12</v>
      </c>
      <c r="L62" t="str">
        <f>Inputs!L62</f>
        <v>C</v>
      </c>
      <c r="M62">
        <f>Inputs!M62</f>
        <v>0</v>
      </c>
      <c r="N62">
        <f>Inputs!N62</f>
        <v>3.1504233291600001</v>
      </c>
      <c r="O62">
        <f>Inputs!O62</f>
        <v>3.0191897291599998</v>
      </c>
      <c r="P62">
        <f>Inputs!P62</f>
        <v>0.13123360000000001</v>
      </c>
      <c r="Q62">
        <f>Inputs!Q62</f>
        <v>1391.6494000815001</v>
      </c>
      <c r="R62" t="str">
        <f>Inputs!R62</f>
        <v>County Property Assessor</v>
      </c>
      <c r="S62" t="str">
        <f>Inputs!S62</f>
        <v>08-579-01767101</v>
      </c>
      <c r="T62">
        <f>Inputs!T62</f>
        <v>0</v>
      </c>
      <c r="U62">
        <f>Inputs!U62</f>
        <v>19780</v>
      </c>
      <c r="V62">
        <f>IF(Inputs!V62=0,2020,Inputs!V62)</f>
        <v>2020</v>
      </c>
      <c r="W62">
        <f>Inputs!W62</f>
        <v>2003</v>
      </c>
      <c r="X62" t="str">
        <f>IF(Inputs!X62=0,"UNK",Inputs!X62)</f>
        <v>RES1</v>
      </c>
      <c r="Y62" t="str">
        <f>Inputs!Y62</f>
        <v>No</v>
      </c>
      <c r="Z62" t="str">
        <f>Inputs!Z62</f>
        <v>Slab</v>
      </c>
      <c r="AA62">
        <f>Inputs!AA62</f>
        <v>1391.6494000815001</v>
      </c>
      <c r="AB62">
        <f>IF(Z62="Piers",MIN(2,Inputs!AB62),Inputs!AB62)</f>
        <v>1</v>
      </c>
      <c r="AC62">
        <f>Inputs!AC62</f>
        <v>1</v>
      </c>
      <c r="AD62">
        <f>Inputs!AD62</f>
        <v>19780</v>
      </c>
      <c r="AE62">
        <f>Inputs!AE62</f>
        <v>2006</v>
      </c>
      <c r="AF62" t="str">
        <f>Inputs!AF62</f>
        <v>average additional garage cost per residence</v>
      </c>
      <c r="AG62">
        <f>Inputs!AG62</f>
        <v>0</v>
      </c>
      <c r="AH62" t="str">
        <f>Inputs!AH62</f>
        <v>https://sdat.dat.maryland.gov/RealProperty/Pages/default.aspx</v>
      </c>
      <c r="AI62" t="str">
        <f>Inputs!AI62</f>
        <v>Suspect this is a garage. Anne Arundle</v>
      </c>
      <c r="AJ62" t="str">
        <f>Inputs!AJ62</f>
        <v>1107 Bay Front Ave North Beach MD 20714</v>
      </c>
      <c r="AK62" t="str">
        <f t="shared" si="16"/>
        <v>Res</v>
      </c>
      <c r="AL62" t="str">
        <f t="shared" si="6"/>
        <v>RES1.1.Slab</v>
      </c>
      <c r="AM62">
        <f t="shared" si="17"/>
        <v>1</v>
      </c>
      <c r="AN62">
        <f t="shared" si="7"/>
        <v>2.1504233291600001</v>
      </c>
      <c r="AO62">
        <f t="shared" si="18"/>
        <v>14</v>
      </c>
      <c r="AP62">
        <f ca="1">OFFSET(Coastal_DDF!$F$10,0,AO62,1,1)</f>
        <v>2</v>
      </c>
      <c r="AQ62">
        <f ca="1">OFFSET(Coastal_DDF!$F$10,0,AO62+1,1,1)</f>
        <v>3</v>
      </c>
      <c r="AR62">
        <f ca="1">OFFSET(Coastal_DDF!$F$10,AM62,AO62,1,1)</f>
        <v>28</v>
      </c>
      <c r="AS62">
        <f ca="1">OFFSET(Coastal_DDF!$F$10,AM62,AO62+1,1,1)</f>
        <v>33</v>
      </c>
      <c r="AT62">
        <f t="shared" ca="1" si="8"/>
        <v>5</v>
      </c>
      <c r="AU62">
        <f t="shared" ca="1" si="9"/>
        <v>28.752116645800001</v>
      </c>
      <c r="AV62">
        <f t="shared" ca="1" si="10"/>
        <v>5687.1686725392401</v>
      </c>
      <c r="AW62">
        <f t="shared" ca="1" si="19"/>
        <v>5687.1686725392401</v>
      </c>
      <c r="AX62">
        <f t="shared" si="11"/>
        <v>2.0191897291599998</v>
      </c>
      <c r="AY62">
        <f t="shared" si="20"/>
        <v>14</v>
      </c>
      <c r="AZ62">
        <f ca="1">OFFSET(Coastal_DDF!$F$10,0,AY62,1,1)</f>
        <v>2</v>
      </c>
      <c r="BA62">
        <f ca="1">OFFSET(Coastal_DDF!$F$10,0,AY62+1,1,1)</f>
        <v>3</v>
      </c>
      <c r="BB62">
        <f ca="1">OFFSET(Coastal_DDF!$F$10,AM62,AY62,1,1)</f>
        <v>28</v>
      </c>
      <c r="BC62">
        <f ca="1">OFFSET(Coastal_DDF!$F$10,AM62,AY62+1,1,1)</f>
        <v>33</v>
      </c>
      <c r="BD62">
        <f t="shared" ca="1" si="12"/>
        <v>5</v>
      </c>
      <c r="BE62">
        <f t="shared" ca="1" si="13"/>
        <v>28.0959486458</v>
      </c>
      <c r="BF62">
        <f t="shared" ca="1" si="14"/>
        <v>5557.3786421392406</v>
      </c>
      <c r="BG62">
        <f t="shared" ca="1" si="21"/>
        <v>5557.3786421392406</v>
      </c>
    </row>
    <row r="63" spans="1:59" x14ac:dyDescent="0.25">
      <c r="A63">
        <f>Inputs!A63</f>
        <v>100</v>
      </c>
      <c r="B63" t="str">
        <f>Inputs!B63</f>
        <v>NFWF-44167</v>
      </c>
      <c r="C63">
        <f>Inputs!C63</f>
        <v>1</v>
      </c>
      <c r="D63" t="str">
        <f>Inputs!D63</f>
        <v>MD_NFWF_44167_1_0002</v>
      </c>
      <c r="E63">
        <f>Inputs!E63</f>
        <v>8</v>
      </c>
      <c r="F63">
        <f>Inputs!F63</f>
        <v>0</v>
      </c>
      <c r="G63">
        <f>Inputs!G63</f>
        <v>129.28858500000001</v>
      </c>
      <c r="H63">
        <f>Inputs!H63</f>
        <v>1.762248</v>
      </c>
      <c r="I63">
        <f>Inputs!I63</f>
        <v>1.682248</v>
      </c>
      <c r="J63">
        <f>Inputs!J63</f>
        <v>0.08</v>
      </c>
      <c r="K63">
        <f>Inputs!K63</f>
        <v>5.12</v>
      </c>
      <c r="L63" t="str">
        <f>Inputs!L63</f>
        <v>C</v>
      </c>
      <c r="M63">
        <f>Inputs!M63</f>
        <v>0</v>
      </c>
      <c r="N63">
        <f>Inputs!N63</f>
        <v>5.7816537283200002</v>
      </c>
      <c r="O63">
        <f>Inputs!O63</f>
        <v>5.5191865283199997</v>
      </c>
      <c r="P63">
        <f>Inputs!P63</f>
        <v>0.26246720000000001</v>
      </c>
      <c r="Q63">
        <f>Inputs!Q63</f>
        <v>1391.6494000815001</v>
      </c>
      <c r="R63" t="str">
        <f>Inputs!R63</f>
        <v>County Property Assessor</v>
      </c>
      <c r="S63" t="str">
        <f>Inputs!S63</f>
        <v>08-579-01767101</v>
      </c>
      <c r="T63">
        <f>Inputs!T63</f>
        <v>0</v>
      </c>
      <c r="U63">
        <f>Inputs!U63</f>
        <v>19780</v>
      </c>
      <c r="V63">
        <f>IF(Inputs!V63=0,2020,Inputs!V63)</f>
        <v>2020</v>
      </c>
      <c r="W63">
        <f>Inputs!W63</f>
        <v>2003</v>
      </c>
      <c r="X63" t="str">
        <f>IF(Inputs!X63=0,"UNK",Inputs!X63)</f>
        <v>RES1</v>
      </c>
      <c r="Y63" t="str">
        <f>Inputs!Y63</f>
        <v>No</v>
      </c>
      <c r="Z63" t="str">
        <f>Inputs!Z63</f>
        <v>Slab</v>
      </c>
      <c r="AA63">
        <f>Inputs!AA63</f>
        <v>1391.6494000815001</v>
      </c>
      <c r="AB63">
        <f>IF(Z63="Piers",MIN(2,Inputs!AB63),Inputs!AB63)</f>
        <v>1</v>
      </c>
      <c r="AC63">
        <f>Inputs!AC63</f>
        <v>1</v>
      </c>
      <c r="AD63">
        <f>Inputs!AD63</f>
        <v>19780</v>
      </c>
      <c r="AE63">
        <f>Inputs!AE63</f>
        <v>2006</v>
      </c>
      <c r="AF63" t="str">
        <f>Inputs!AF63</f>
        <v>average additional garage cost per residence</v>
      </c>
      <c r="AG63">
        <f>Inputs!AG63</f>
        <v>0</v>
      </c>
      <c r="AH63" t="str">
        <f>Inputs!AH63</f>
        <v>https://sdat.dat.maryland.gov/RealProperty/Pages/default.aspx</v>
      </c>
      <c r="AI63" t="str">
        <f>Inputs!AI63</f>
        <v>Suspect this is a garage. Anne Arundle</v>
      </c>
      <c r="AJ63" t="str">
        <f>Inputs!AJ63</f>
        <v>1107 Bay Front Ave North Beach MD 20714</v>
      </c>
      <c r="AK63" t="str">
        <f t="shared" si="16"/>
        <v>Res</v>
      </c>
      <c r="AL63" t="str">
        <f t="shared" si="6"/>
        <v>RES1.1.Slab</v>
      </c>
      <c r="AM63">
        <f t="shared" si="17"/>
        <v>1</v>
      </c>
      <c r="AN63">
        <f t="shared" si="7"/>
        <v>4.7816537283200002</v>
      </c>
      <c r="AO63">
        <f t="shared" si="18"/>
        <v>16</v>
      </c>
      <c r="AP63">
        <f ca="1">OFFSET(Coastal_DDF!$F$10,0,AO63,1,1)</f>
        <v>4</v>
      </c>
      <c r="AQ63">
        <f ca="1">OFFSET(Coastal_DDF!$F$10,0,AO63+1,1,1)</f>
        <v>5</v>
      </c>
      <c r="AR63">
        <f ca="1">OFFSET(Coastal_DDF!$F$10,AM63,AO63,1,1)</f>
        <v>37.5</v>
      </c>
      <c r="AS63">
        <f ca="1">OFFSET(Coastal_DDF!$F$10,AM63,AO63+1,1,1)</f>
        <v>42</v>
      </c>
      <c r="AT63">
        <f t="shared" ca="1" si="8"/>
        <v>4.5</v>
      </c>
      <c r="AU63">
        <f t="shared" ca="1" si="9"/>
        <v>41.017441777439998</v>
      </c>
      <c r="AV63">
        <f t="shared" ca="1" si="10"/>
        <v>8113.2499835776316</v>
      </c>
      <c r="AW63">
        <f t="shared" ca="1" si="19"/>
        <v>8113.2499835776316</v>
      </c>
      <c r="AX63">
        <f t="shared" si="11"/>
        <v>4.5191865283199997</v>
      </c>
      <c r="AY63">
        <f t="shared" si="20"/>
        <v>16</v>
      </c>
      <c r="AZ63">
        <f ca="1">OFFSET(Coastal_DDF!$F$10,0,AY63,1,1)</f>
        <v>4</v>
      </c>
      <c r="BA63">
        <f ca="1">OFFSET(Coastal_DDF!$F$10,0,AY63+1,1,1)</f>
        <v>5</v>
      </c>
      <c r="BB63">
        <f ca="1">OFFSET(Coastal_DDF!$F$10,AM63,AY63,1,1)</f>
        <v>37.5</v>
      </c>
      <c r="BC63">
        <f ca="1">OFFSET(Coastal_DDF!$F$10,AM63,AY63+1,1,1)</f>
        <v>42</v>
      </c>
      <c r="BD63">
        <f t="shared" ca="1" si="12"/>
        <v>4.5</v>
      </c>
      <c r="BE63">
        <f t="shared" ca="1" si="13"/>
        <v>39.836339377439998</v>
      </c>
      <c r="BF63">
        <f t="shared" ca="1" si="14"/>
        <v>7879.6279288576316</v>
      </c>
      <c r="BG63">
        <f t="shared" ca="1" si="21"/>
        <v>7879.6279288576316</v>
      </c>
    </row>
    <row r="64" spans="1:59" x14ac:dyDescent="0.25">
      <c r="A64">
        <f>Inputs!A64</f>
        <v>20</v>
      </c>
      <c r="B64" t="str">
        <f>Inputs!B64</f>
        <v>NFWF-44167</v>
      </c>
      <c r="C64">
        <f>Inputs!C64</f>
        <v>1</v>
      </c>
      <c r="D64" t="str">
        <f>Inputs!D64</f>
        <v>MD_NFWF_44167_1_0003</v>
      </c>
      <c r="E64">
        <f>Inputs!E64</f>
        <v>8</v>
      </c>
      <c r="F64">
        <f>Inputs!F64</f>
        <v>0</v>
      </c>
      <c r="G64">
        <f>Inputs!G64</f>
        <v>172.60130699999999</v>
      </c>
      <c r="H64">
        <f>Inputs!H64</f>
        <v>0.69255</v>
      </c>
      <c r="I64">
        <f>Inputs!I64</f>
        <v>0.65254999999999996</v>
      </c>
      <c r="J64">
        <f>Inputs!J64</f>
        <v>0.04</v>
      </c>
      <c r="K64">
        <f>Inputs!K64</f>
        <v>5.12</v>
      </c>
      <c r="L64" t="str">
        <f>Inputs!L64</f>
        <v>C</v>
      </c>
      <c r="M64">
        <f>Inputs!M64</f>
        <v>0</v>
      </c>
      <c r="N64">
        <f>Inputs!N64</f>
        <v>2.2721457420000002</v>
      </c>
      <c r="O64">
        <f>Inputs!O64</f>
        <v>2.1409121419999999</v>
      </c>
      <c r="P64">
        <f>Inputs!P64</f>
        <v>0.13123360000000001</v>
      </c>
      <c r="Q64">
        <f>Inputs!Q64</f>
        <v>1857.8632084172998</v>
      </c>
      <c r="R64" t="str">
        <f>Inputs!R64</f>
        <v>County Property Assessor</v>
      </c>
      <c r="S64" t="str">
        <f>Inputs!S64</f>
        <v>08-579-01868300</v>
      </c>
      <c r="T64">
        <f>Inputs!T64</f>
        <v>58700</v>
      </c>
      <c r="U64">
        <f>Inputs!U64</f>
        <v>66844.800000000003</v>
      </c>
      <c r="V64">
        <f>IF(Inputs!V64=0,2020,Inputs!V64)</f>
        <v>2018</v>
      </c>
      <c r="W64">
        <f>Inputs!W64</f>
        <v>1940</v>
      </c>
      <c r="X64" t="str">
        <f>IF(Inputs!X64=0,"UNK",Inputs!X64)</f>
        <v>RES1</v>
      </c>
      <c r="Y64" t="str">
        <f>Inputs!Y64</f>
        <v>No</v>
      </c>
      <c r="Z64" t="str">
        <f>Inputs!Z64</f>
        <v>Slab</v>
      </c>
      <c r="AA64">
        <f>Inputs!AA64</f>
        <v>720</v>
      </c>
      <c r="AB64">
        <f>IF(Z64="Piers",MIN(2,Inputs!AB64),Inputs!AB64)</f>
        <v>1</v>
      </c>
      <c r="AC64">
        <f>Inputs!AC64</f>
        <v>1</v>
      </c>
      <c r="AD64">
        <f>Inputs!AD64</f>
        <v>92.84</v>
      </c>
      <c r="AE64">
        <f>Inputs!AE64</f>
        <v>2006</v>
      </c>
      <c r="AF64">
        <f>Inputs!AF64</f>
        <v>0</v>
      </c>
      <c r="AG64">
        <f>Inputs!AG64</f>
        <v>2.63</v>
      </c>
      <c r="AH64" t="str">
        <f>Inputs!AH64</f>
        <v>https://sdat.dat.maryland.gov/RealProperty/Pages/default.aspx</v>
      </c>
      <c r="AI64" t="str">
        <f>Inputs!AI64</f>
        <v>Anne Arundle</v>
      </c>
      <c r="AJ64" t="str">
        <f>Inputs!AJ64</f>
        <v>805 Beach Ave North Beach MD 20714</v>
      </c>
      <c r="AK64" t="str">
        <f t="shared" si="16"/>
        <v>Res</v>
      </c>
      <c r="AL64" t="str">
        <f t="shared" si="6"/>
        <v>RES1.1.Slab</v>
      </c>
      <c r="AM64">
        <f t="shared" si="17"/>
        <v>1</v>
      </c>
      <c r="AN64">
        <f t="shared" si="7"/>
        <v>1.2721457420000002</v>
      </c>
      <c r="AO64">
        <f t="shared" si="18"/>
        <v>13</v>
      </c>
      <c r="AP64">
        <f ca="1">OFFSET(Coastal_DDF!$F$10,0,AO64,1,1)</f>
        <v>1</v>
      </c>
      <c r="AQ64">
        <f ca="1">OFFSET(Coastal_DDF!$F$10,0,AO64+1,1,1)</f>
        <v>2</v>
      </c>
      <c r="AR64">
        <f ca="1">OFFSET(Coastal_DDF!$F$10,AM64,AO64,1,1)</f>
        <v>18</v>
      </c>
      <c r="AS64">
        <f ca="1">OFFSET(Coastal_DDF!$F$10,AM64,AO64+1,1,1)</f>
        <v>28</v>
      </c>
      <c r="AT64">
        <f t="shared" ca="1" si="8"/>
        <v>10</v>
      </c>
      <c r="AU64">
        <f t="shared" ca="1" si="9"/>
        <v>20.72145742</v>
      </c>
      <c r="AV64">
        <f t="shared" ca="1" si="10"/>
        <v>13851.216769484161</v>
      </c>
      <c r="AW64">
        <f t="shared" ca="1" si="19"/>
        <v>14542.189165668287</v>
      </c>
      <c r="AX64">
        <f t="shared" si="11"/>
        <v>1.1409121419999999</v>
      </c>
      <c r="AY64">
        <f t="shared" si="20"/>
        <v>13</v>
      </c>
      <c r="AZ64">
        <f ca="1">OFFSET(Coastal_DDF!$F$10,0,AY64,1,1)</f>
        <v>1</v>
      </c>
      <c r="BA64">
        <f ca="1">OFFSET(Coastal_DDF!$F$10,0,AY64+1,1,1)</f>
        <v>2</v>
      </c>
      <c r="BB64">
        <f ca="1">OFFSET(Coastal_DDF!$F$10,AM64,AY64,1,1)</f>
        <v>18</v>
      </c>
      <c r="BC64">
        <f ca="1">OFFSET(Coastal_DDF!$F$10,AM64,AY64+1,1,1)</f>
        <v>28</v>
      </c>
      <c r="BD64">
        <f t="shared" ca="1" si="12"/>
        <v>10</v>
      </c>
      <c r="BE64">
        <f t="shared" ca="1" si="13"/>
        <v>19.409121419999998</v>
      </c>
      <c r="BF64">
        <f t="shared" ca="1" si="14"/>
        <v>12973.988394956159</v>
      </c>
      <c r="BG64">
        <f t="shared" ca="1" si="21"/>
        <v>13621.19997199812</v>
      </c>
    </row>
    <row r="65" spans="1:59" x14ac:dyDescent="0.25">
      <c r="A65">
        <f>Inputs!A65</f>
        <v>100</v>
      </c>
      <c r="B65" t="str">
        <f>Inputs!B65</f>
        <v>NFWF-44167</v>
      </c>
      <c r="C65">
        <f>Inputs!C65</f>
        <v>1</v>
      </c>
      <c r="D65" t="str">
        <f>Inputs!D65</f>
        <v>MD_NFWF_44167_1_0003</v>
      </c>
      <c r="E65">
        <f>Inputs!E65</f>
        <v>8</v>
      </c>
      <c r="F65">
        <f>Inputs!F65</f>
        <v>0</v>
      </c>
      <c r="G65">
        <f>Inputs!G65</f>
        <v>172.60130699999999</v>
      </c>
      <c r="H65">
        <f>Inputs!H65</f>
        <v>1.49455</v>
      </c>
      <c r="I65">
        <f>Inputs!I65</f>
        <v>1.41455</v>
      </c>
      <c r="J65">
        <f>Inputs!J65</f>
        <v>0.08</v>
      </c>
      <c r="K65">
        <f>Inputs!K65</f>
        <v>5.12</v>
      </c>
      <c r="L65" t="str">
        <f>Inputs!L65</f>
        <v>C</v>
      </c>
      <c r="M65">
        <f>Inputs!M65</f>
        <v>0</v>
      </c>
      <c r="N65">
        <f>Inputs!N65</f>
        <v>4.9033794220000004</v>
      </c>
      <c r="O65">
        <f>Inputs!O65</f>
        <v>4.6409122219999999</v>
      </c>
      <c r="P65">
        <f>Inputs!P65</f>
        <v>0.26246720000000001</v>
      </c>
      <c r="Q65">
        <f>Inputs!Q65</f>
        <v>1857.8632084172998</v>
      </c>
      <c r="R65" t="str">
        <f>Inputs!R65</f>
        <v>County Property Assessor</v>
      </c>
      <c r="S65" t="str">
        <f>Inputs!S65</f>
        <v>08-579-01868300</v>
      </c>
      <c r="T65">
        <f>Inputs!T65</f>
        <v>58700</v>
      </c>
      <c r="U65">
        <f>Inputs!U65</f>
        <v>66844.800000000003</v>
      </c>
      <c r="V65">
        <f>IF(Inputs!V65=0,2020,Inputs!V65)</f>
        <v>2018</v>
      </c>
      <c r="W65">
        <f>Inputs!W65</f>
        <v>1940</v>
      </c>
      <c r="X65" t="str">
        <f>IF(Inputs!X65=0,"UNK",Inputs!X65)</f>
        <v>RES1</v>
      </c>
      <c r="Y65" t="str">
        <f>Inputs!Y65</f>
        <v>No</v>
      </c>
      <c r="Z65" t="str">
        <f>Inputs!Z65</f>
        <v>Slab</v>
      </c>
      <c r="AA65">
        <f>Inputs!AA65</f>
        <v>720</v>
      </c>
      <c r="AB65">
        <f>IF(Z65="Piers",MIN(2,Inputs!AB65),Inputs!AB65)</f>
        <v>1</v>
      </c>
      <c r="AC65">
        <f>Inputs!AC65</f>
        <v>1</v>
      </c>
      <c r="AD65">
        <f>Inputs!AD65</f>
        <v>92.84</v>
      </c>
      <c r="AE65">
        <f>Inputs!AE65</f>
        <v>2006</v>
      </c>
      <c r="AF65">
        <f>Inputs!AF65</f>
        <v>0</v>
      </c>
      <c r="AG65">
        <f>Inputs!AG65</f>
        <v>2.63</v>
      </c>
      <c r="AH65" t="str">
        <f>Inputs!AH65</f>
        <v>https://sdat.dat.maryland.gov/RealProperty/Pages/default.aspx</v>
      </c>
      <c r="AI65" t="str">
        <f>Inputs!AI65</f>
        <v>Anne Arundle</v>
      </c>
      <c r="AJ65" t="str">
        <f>Inputs!AJ65</f>
        <v>805 Beach Ave North Beach MD 20714</v>
      </c>
      <c r="AK65" t="str">
        <f t="shared" si="16"/>
        <v>Res</v>
      </c>
      <c r="AL65" t="str">
        <f t="shared" si="6"/>
        <v>RES1.1.Slab</v>
      </c>
      <c r="AM65">
        <f t="shared" si="17"/>
        <v>1</v>
      </c>
      <c r="AN65">
        <f t="shared" si="7"/>
        <v>3.9033794220000004</v>
      </c>
      <c r="AO65">
        <f t="shared" si="18"/>
        <v>15</v>
      </c>
      <c r="AP65">
        <f ca="1">OFFSET(Coastal_DDF!$F$10,0,AO65,1,1)</f>
        <v>3</v>
      </c>
      <c r="AQ65">
        <f ca="1">OFFSET(Coastal_DDF!$F$10,0,AO65+1,1,1)</f>
        <v>4</v>
      </c>
      <c r="AR65">
        <f ca="1">OFFSET(Coastal_DDF!$F$10,AM65,AO65,1,1)</f>
        <v>33</v>
      </c>
      <c r="AS65">
        <f ca="1">OFFSET(Coastal_DDF!$F$10,AM65,AO65+1,1,1)</f>
        <v>37.5</v>
      </c>
      <c r="AT65">
        <f t="shared" ca="1" si="8"/>
        <v>4.5</v>
      </c>
      <c r="AU65">
        <f t="shared" ca="1" si="9"/>
        <v>37.065207399000002</v>
      </c>
      <c r="AV65">
        <f t="shared" ca="1" si="10"/>
        <v>24776.163755446752</v>
      </c>
      <c r="AW65">
        <f t="shared" ca="1" si="19"/>
        <v>26012.130640036117</v>
      </c>
      <c r="AX65">
        <f t="shared" si="11"/>
        <v>3.6409122219999999</v>
      </c>
      <c r="AY65">
        <f t="shared" si="20"/>
        <v>15</v>
      </c>
      <c r="AZ65">
        <f ca="1">OFFSET(Coastal_DDF!$F$10,0,AY65,1,1)</f>
        <v>3</v>
      </c>
      <c r="BA65">
        <f ca="1">OFFSET(Coastal_DDF!$F$10,0,AY65+1,1,1)</f>
        <v>4</v>
      </c>
      <c r="BB65">
        <f ca="1">OFFSET(Coastal_DDF!$F$10,AM65,AY65,1,1)</f>
        <v>33</v>
      </c>
      <c r="BC65">
        <f ca="1">OFFSET(Coastal_DDF!$F$10,AM65,AY65+1,1,1)</f>
        <v>37.5</v>
      </c>
      <c r="BD65">
        <f t="shared" ca="1" si="12"/>
        <v>4.5</v>
      </c>
      <c r="BE65">
        <f t="shared" ca="1" si="13"/>
        <v>35.884104999000002</v>
      </c>
      <c r="BF65">
        <f t="shared" ca="1" si="14"/>
        <v>23986.658218371551</v>
      </c>
      <c r="BG65">
        <f t="shared" ca="1" si="21"/>
        <v>25183.240365732971</v>
      </c>
    </row>
    <row r="66" spans="1:59" x14ac:dyDescent="0.25">
      <c r="A66">
        <f>Inputs!A66</f>
        <v>100</v>
      </c>
      <c r="B66" t="str">
        <f>Inputs!B66</f>
        <v>NFWF-44167</v>
      </c>
      <c r="C66">
        <f>Inputs!C66</f>
        <v>1</v>
      </c>
      <c r="D66" t="str">
        <f>Inputs!D66</f>
        <v>MD_NFWF_44167_1_0004</v>
      </c>
      <c r="E66">
        <f>Inputs!E66</f>
        <v>4</v>
      </c>
      <c r="F66">
        <f>Inputs!F66</f>
        <v>0</v>
      </c>
      <c r="G66">
        <f>Inputs!G66</f>
        <v>330.73973599999999</v>
      </c>
      <c r="H66">
        <f>Inputs!H66</f>
        <v>3.0123579999999999</v>
      </c>
      <c r="I66">
        <f>Inputs!I66</f>
        <v>2.882358</v>
      </c>
      <c r="J66">
        <f>Inputs!J66</f>
        <v>0.13</v>
      </c>
      <c r="K66">
        <f>Inputs!K66</f>
        <v>5.12</v>
      </c>
      <c r="L66" t="str">
        <f>Inputs!L66</f>
        <v>C</v>
      </c>
      <c r="M66">
        <f>Inputs!M66</f>
        <v>0</v>
      </c>
      <c r="N66">
        <f>Inputs!N66</f>
        <v>9.883064620719999</v>
      </c>
      <c r="O66">
        <f>Inputs!O66</f>
        <v>9.4565554207199991</v>
      </c>
      <c r="P66">
        <f>Inputs!P66</f>
        <v>0.42650920000000003</v>
      </c>
      <c r="Q66">
        <f>Inputs!Q66</f>
        <v>3560.0494443303996</v>
      </c>
      <c r="R66" t="str">
        <f>Inputs!R66</f>
        <v>County Property Assessor</v>
      </c>
      <c r="S66" t="str">
        <f>Inputs!S66</f>
        <v>03-055566</v>
      </c>
      <c r="T66">
        <f>Inputs!T66</f>
        <v>337000</v>
      </c>
      <c r="U66">
        <f>Inputs!U66</f>
        <v>236193.00000000003</v>
      </c>
      <c r="V66">
        <f>IF(Inputs!V66=0,2020,Inputs!V66)</f>
        <v>2020</v>
      </c>
      <c r="W66">
        <f>Inputs!W66</f>
        <v>2005</v>
      </c>
      <c r="X66" t="str">
        <f>IF(Inputs!X66=0,"UNK",Inputs!X66)</f>
        <v>RES1</v>
      </c>
      <c r="Y66" t="str">
        <f>Inputs!Y66</f>
        <v>No</v>
      </c>
      <c r="Z66" t="str">
        <f>Inputs!Z66</f>
        <v>Piers</v>
      </c>
      <c r="AA66">
        <f>Inputs!AA66</f>
        <v>2620</v>
      </c>
      <c r="AB66">
        <f>IF(Z66="Piers",MIN(2,Inputs!AB66),Inputs!AB66)</f>
        <v>2</v>
      </c>
      <c r="AC66">
        <f>Inputs!AC66</f>
        <v>9</v>
      </c>
      <c r="AD66">
        <f>Inputs!AD66</f>
        <v>90.15</v>
      </c>
      <c r="AE66">
        <f>Inputs!AE66</f>
        <v>2006</v>
      </c>
      <c r="AF66">
        <f>Inputs!AF66</f>
        <v>0</v>
      </c>
      <c r="AG66">
        <f>Inputs!AG66</f>
        <v>2.85</v>
      </c>
      <c r="AH66">
        <f>Inputs!AH66</f>
        <v>0</v>
      </c>
      <c r="AI66" t="str">
        <f>Inputs!AI66</f>
        <v>house above garage; actually two properties; Calvert County</v>
      </c>
      <c r="AJ66" t="str">
        <f>Inputs!AJ66</f>
        <v>9317 Bay Ave North Beach MD 20714</v>
      </c>
      <c r="AK66" t="str">
        <f t="shared" si="16"/>
        <v>Res</v>
      </c>
      <c r="AL66" t="str">
        <f t="shared" si="6"/>
        <v>RES1.2.Piers</v>
      </c>
      <c r="AM66">
        <f t="shared" si="17"/>
        <v>29</v>
      </c>
      <c r="AN66">
        <f t="shared" si="7"/>
        <v>0.88306462071999903</v>
      </c>
      <c r="AO66">
        <f t="shared" si="18"/>
        <v>12</v>
      </c>
      <c r="AP66">
        <f ca="1">OFFSET(Coastal_DDF!$F$10,0,AO66,1,1)</f>
        <v>0.5</v>
      </c>
      <c r="AQ66">
        <f ca="1">OFFSET(Coastal_DDF!$F$10,0,AO66+1,1,1)</f>
        <v>1</v>
      </c>
      <c r="AR66">
        <f ca="1">OFFSET(Coastal_DDF!$F$10,AM66,AO66,1,1)</f>
        <v>7.5</v>
      </c>
      <c r="AS66">
        <f ca="1">OFFSET(Coastal_DDF!$F$10,AM66,AO66+1,1,1)</f>
        <v>9</v>
      </c>
      <c r="AT66">
        <f t="shared" ca="1" si="8"/>
        <v>3</v>
      </c>
      <c r="AU66">
        <f t="shared" ca="1" si="9"/>
        <v>8.6491938621599971</v>
      </c>
      <c r="AV66">
        <f t="shared" ca="1" si="10"/>
        <v>20428.790458851563</v>
      </c>
      <c r="AW66">
        <f t="shared" ca="1" si="19"/>
        <v>20428.790458851563</v>
      </c>
      <c r="AX66">
        <f t="shared" si="11"/>
        <v>0.45655542071999911</v>
      </c>
      <c r="AY66">
        <f t="shared" si="20"/>
        <v>11</v>
      </c>
      <c r="AZ66">
        <f ca="1">OFFSET(Coastal_DDF!$F$10,0,AY66,1,1)</f>
        <v>0</v>
      </c>
      <c r="BA66">
        <f ca="1">OFFSET(Coastal_DDF!$F$10,0,AY66+1,1,1)</f>
        <v>0.5</v>
      </c>
      <c r="BB66">
        <f ca="1">OFFSET(Coastal_DDF!$F$10,AM66,AY66,1,1)</f>
        <v>6</v>
      </c>
      <c r="BC66">
        <f ca="1">OFFSET(Coastal_DDF!$F$10,AM66,AY66+1,1,1)</f>
        <v>7.5</v>
      </c>
      <c r="BD66">
        <f t="shared" ca="1" si="12"/>
        <v>3</v>
      </c>
      <c r="BE66">
        <f t="shared" ca="1" si="13"/>
        <v>7.3696662621599973</v>
      </c>
      <c r="BF66">
        <f t="shared" ca="1" si="14"/>
        <v>17406.635834583565</v>
      </c>
      <c r="BG66">
        <f t="shared" ca="1" si="21"/>
        <v>17406.635834583565</v>
      </c>
    </row>
    <row r="67" spans="1:59" x14ac:dyDescent="0.25">
      <c r="A67">
        <f>Inputs!A67</f>
        <v>100</v>
      </c>
      <c r="B67" t="str">
        <f>Inputs!B67</f>
        <v>NFWF-44167</v>
      </c>
      <c r="C67">
        <f>Inputs!C67</f>
        <v>1</v>
      </c>
      <c r="D67" t="str">
        <f>Inputs!D67</f>
        <v>MD_NFWF_44167_1_0004</v>
      </c>
      <c r="E67">
        <f>Inputs!E67</f>
        <v>4</v>
      </c>
      <c r="F67">
        <f>Inputs!F67</f>
        <v>0</v>
      </c>
      <c r="G67">
        <f>Inputs!G67</f>
        <v>330.73973599999999</v>
      </c>
      <c r="H67">
        <f>Inputs!H67</f>
        <v>3.0123579999999999</v>
      </c>
      <c r="I67">
        <f>Inputs!I67</f>
        <v>2.882358</v>
      </c>
      <c r="J67">
        <f>Inputs!J67</f>
        <v>0.13</v>
      </c>
      <c r="K67">
        <f>Inputs!K67</f>
        <v>5.12</v>
      </c>
      <c r="L67" t="str">
        <f>Inputs!L67</f>
        <v>C</v>
      </c>
      <c r="M67">
        <f>Inputs!M67</f>
        <v>0</v>
      </c>
      <c r="N67">
        <f>Inputs!N67</f>
        <v>9.883064620719999</v>
      </c>
      <c r="O67">
        <f>Inputs!O67</f>
        <v>9.4565554207199991</v>
      </c>
      <c r="P67">
        <f>Inputs!P67</f>
        <v>0.42650920000000003</v>
      </c>
      <c r="Q67">
        <f>Inputs!Q67</f>
        <v>3560.0494443303996</v>
      </c>
      <c r="R67" t="str">
        <f>Inputs!R67</f>
        <v>County Property Assessor</v>
      </c>
      <c r="S67" t="str">
        <f>Inputs!S67</f>
        <v>03-052877</v>
      </c>
      <c r="T67">
        <f>Inputs!T67</f>
        <v>365000</v>
      </c>
      <c r="U67">
        <f>Inputs!U67</f>
        <v>198330</v>
      </c>
      <c r="V67">
        <f>IF(Inputs!V67=0,2020,Inputs!V67)</f>
        <v>2020</v>
      </c>
      <c r="W67">
        <f>Inputs!W67</f>
        <v>2004</v>
      </c>
      <c r="X67" t="str">
        <f>IF(Inputs!X67=0,"UNK",Inputs!X67)</f>
        <v>RES1</v>
      </c>
      <c r="Y67" t="str">
        <f>Inputs!Y67</f>
        <v>No</v>
      </c>
      <c r="Z67" t="str">
        <f>Inputs!Z67</f>
        <v>Piers</v>
      </c>
      <c r="AA67">
        <f>Inputs!AA67</f>
        <v>2200</v>
      </c>
      <c r="AB67">
        <f>IF(Z67="Piers",MIN(2,Inputs!AB67),Inputs!AB67)</f>
        <v>2</v>
      </c>
      <c r="AC67">
        <f>Inputs!AC67</f>
        <v>9</v>
      </c>
      <c r="AD67">
        <f>Inputs!AD67</f>
        <v>90.15</v>
      </c>
      <c r="AE67">
        <f>Inputs!AE67</f>
        <v>2006</v>
      </c>
      <c r="AF67">
        <f>Inputs!AF67</f>
        <v>0</v>
      </c>
      <c r="AG67">
        <f>Inputs!AG67</f>
        <v>2.85</v>
      </c>
      <c r="AH67">
        <f>Inputs!AH67</f>
        <v>0</v>
      </c>
      <c r="AI67" t="str">
        <f>Inputs!AI67</f>
        <v>house above garage; actually two properties; Calvert County</v>
      </c>
      <c r="AJ67" t="str">
        <f>Inputs!AJ67</f>
        <v>9315 Bay Ave North Beach MD 20714</v>
      </c>
      <c r="AK67" t="str">
        <f t="shared" si="16"/>
        <v>Res</v>
      </c>
      <c r="AL67" t="str">
        <f t="shared" si="6"/>
        <v>RES1.2.Piers</v>
      </c>
      <c r="AM67">
        <f t="shared" si="17"/>
        <v>29</v>
      </c>
      <c r="AN67">
        <f t="shared" si="7"/>
        <v>0.88306462071999903</v>
      </c>
      <c r="AO67">
        <f t="shared" si="18"/>
        <v>12</v>
      </c>
      <c r="AP67">
        <f ca="1">OFFSET(Coastal_DDF!$F$10,0,AO67,1,1)</f>
        <v>0.5</v>
      </c>
      <c r="AQ67">
        <f ca="1">OFFSET(Coastal_DDF!$F$10,0,AO67+1,1,1)</f>
        <v>1</v>
      </c>
      <c r="AR67">
        <f ca="1">OFFSET(Coastal_DDF!$F$10,AM67,AO67,1,1)</f>
        <v>7.5</v>
      </c>
      <c r="AS67">
        <f ca="1">OFFSET(Coastal_DDF!$F$10,AM67,AO67+1,1,1)</f>
        <v>9</v>
      </c>
      <c r="AT67">
        <f t="shared" ca="1" si="8"/>
        <v>3</v>
      </c>
      <c r="AU67">
        <f t="shared" ca="1" si="9"/>
        <v>8.6491938621599971</v>
      </c>
      <c r="AV67">
        <f t="shared" ca="1" si="10"/>
        <v>17153.946186821922</v>
      </c>
      <c r="AW67">
        <f t="shared" ca="1" si="19"/>
        <v>17153.946186821922</v>
      </c>
      <c r="AX67">
        <f t="shared" si="11"/>
        <v>0.45655542071999911</v>
      </c>
      <c r="AY67">
        <f t="shared" si="20"/>
        <v>11</v>
      </c>
      <c r="AZ67">
        <f ca="1">OFFSET(Coastal_DDF!$F$10,0,AY67,1,1)</f>
        <v>0</v>
      </c>
      <c r="BA67">
        <f ca="1">OFFSET(Coastal_DDF!$F$10,0,AY67+1,1,1)</f>
        <v>0.5</v>
      </c>
      <c r="BB67">
        <f ca="1">OFFSET(Coastal_DDF!$F$10,AM67,AY67,1,1)</f>
        <v>6</v>
      </c>
      <c r="BC67">
        <f ca="1">OFFSET(Coastal_DDF!$F$10,AM67,AY67+1,1,1)</f>
        <v>7.5</v>
      </c>
      <c r="BD67">
        <f t="shared" ca="1" si="12"/>
        <v>3</v>
      </c>
      <c r="BE67">
        <f t="shared" ca="1" si="13"/>
        <v>7.3696662621599973</v>
      </c>
      <c r="BF67">
        <f t="shared" ca="1" si="14"/>
        <v>14616.259097741924</v>
      </c>
      <c r="BG67">
        <f t="shared" ca="1" si="21"/>
        <v>14616.259097741924</v>
      </c>
    </row>
    <row r="68" spans="1:59" x14ac:dyDescent="0.25">
      <c r="A68">
        <f>Inputs!A68</f>
        <v>100</v>
      </c>
      <c r="B68" t="str">
        <f>Inputs!B68</f>
        <v>NFWF-44167</v>
      </c>
      <c r="C68">
        <f>Inputs!C68</f>
        <v>1</v>
      </c>
      <c r="D68" t="str">
        <f>Inputs!D68</f>
        <v>MD_NFWF_44167_1_0005</v>
      </c>
      <c r="E68">
        <f>Inputs!E68</f>
        <v>4</v>
      </c>
      <c r="F68">
        <f>Inputs!F68</f>
        <v>0</v>
      </c>
      <c r="G68">
        <f>Inputs!G68</f>
        <v>253.607662</v>
      </c>
      <c r="H68">
        <f>Inputs!H68</f>
        <v>2.9789629999999998</v>
      </c>
      <c r="I68">
        <f>Inputs!I68</f>
        <v>2.8489629999999999</v>
      </c>
      <c r="J68">
        <f>Inputs!J68</f>
        <v>0.13</v>
      </c>
      <c r="K68">
        <f>Inputs!K68</f>
        <v>5.12</v>
      </c>
      <c r="L68" t="str">
        <f>Inputs!L68</f>
        <v>C</v>
      </c>
      <c r="M68">
        <f>Inputs!M68</f>
        <v>0</v>
      </c>
      <c r="N68">
        <f>Inputs!N68</f>
        <v>9.7735009689199988</v>
      </c>
      <c r="O68">
        <f>Inputs!O68</f>
        <v>9.3469917689199988</v>
      </c>
      <c r="P68">
        <f>Inputs!P68</f>
        <v>0.42650920000000003</v>
      </c>
      <c r="Q68">
        <f>Inputs!Q68</f>
        <v>2729.8075130018001</v>
      </c>
      <c r="R68" t="str">
        <f>Inputs!R68</f>
        <v>County Property Assessor</v>
      </c>
      <c r="S68" t="str">
        <f>Inputs!S68</f>
        <v>03-053474</v>
      </c>
      <c r="T68">
        <f>Inputs!T68</f>
        <v>249500</v>
      </c>
      <c r="U68">
        <f>Inputs!U68</f>
        <v>160467</v>
      </c>
      <c r="V68">
        <f>IF(Inputs!V68=0,2020,Inputs!V68)</f>
        <v>2020</v>
      </c>
      <c r="W68">
        <f>Inputs!W68</f>
        <v>2005</v>
      </c>
      <c r="X68" t="str">
        <f>IF(Inputs!X68=0,"UNK",Inputs!X68)</f>
        <v>RES1</v>
      </c>
      <c r="Y68" t="str">
        <f>Inputs!Y68</f>
        <v>No</v>
      </c>
      <c r="Z68" t="str">
        <f>Inputs!Z68</f>
        <v>Piers</v>
      </c>
      <c r="AA68">
        <f>Inputs!AA68</f>
        <v>1780</v>
      </c>
      <c r="AB68">
        <f>IF(Z68="Piers",MIN(2,Inputs!AB68),Inputs!AB68)</f>
        <v>2</v>
      </c>
      <c r="AC68">
        <f>Inputs!AC68</f>
        <v>9</v>
      </c>
      <c r="AD68">
        <f>Inputs!AD68</f>
        <v>90.15</v>
      </c>
      <c r="AE68">
        <f>Inputs!AE68</f>
        <v>2006</v>
      </c>
      <c r="AF68">
        <f>Inputs!AF68</f>
        <v>0</v>
      </c>
      <c r="AG68">
        <f>Inputs!AG68</f>
        <v>2.85</v>
      </c>
      <c r="AH68">
        <f>Inputs!AH68</f>
        <v>0</v>
      </c>
      <c r="AI68" t="str">
        <f>Inputs!AI68</f>
        <v>house above garage; actually two properties; Calvert County</v>
      </c>
      <c r="AJ68" t="str">
        <f>Inputs!AJ68</f>
        <v>9313 Bay Ave North Beach MD 20714</v>
      </c>
      <c r="AK68" t="str">
        <f t="shared" si="16"/>
        <v>Res</v>
      </c>
      <c r="AL68" t="str">
        <f t="shared" si="6"/>
        <v>RES1.2.Piers</v>
      </c>
      <c r="AM68">
        <f t="shared" si="17"/>
        <v>29</v>
      </c>
      <c r="AN68">
        <f t="shared" si="7"/>
        <v>0.77350096891999875</v>
      </c>
      <c r="AO68">
        <f t="shared" si="18"/>
        <v>12</v>
      </c>
      <c r="AP68">
        <f ca="1">OFFSET(Coastal_DDF!$F$10,0,AO68,1,1)</f>
        <v>0.5</v>
      </c>
      <c r="AQ68">
        <f ca="1">OFFSET(Coastal_DDF!$F$10,0,AO68+1,1,1)</f>
        <v>1</v>
      </c>
      <c r="AR68">
        <f ca="1">OFFSET(Coastal_DDF!$F$10,AM68,AO68,1,1)</f>
        <v>7.5</v>
      </c>
      <c r="AS68">
        <f ca="1">OFFSET(Coastal_DDF!$F$10,AM68,AO68+1,1,1)</f>
        <v>9</v>
      </c>
      <c r="AT68">
        <f t="shared" ca="1" si="8"/>
        <v>3</v>
      </c>
      <c r="AU68">
        <f t="shared" ca="1" si="9"/>
        <v>8.3205029067599963</v>
      </c>
      <c r="AV68">
        <f t="shared" ca="1" si="10"/>
        <v>13351.661399390563</v>
      </c>
      <c r="AW68">
        <f t="shared" ca="1" si="19"/>
        <v>13351.661399390563</v>
      </c>
      <c r="AX68">
        <f t="shared" si="11"/>
        <v>0.34699176891999883</v>
      </c>
      <c r="AY68">
        <f t="shared" si="20"/>
        <v>11</v>
      </c>
      <c r="AZ68">
        <f ca="1">OFFSET(Coastal_DDF!$F$10,0,AY68,1,1)</f>
        <v>0</v>
      </c>
      <c r="BA68">
        <f ca="1">OFFSET(Coastal_DDF!$F$10,0,AY68+1,1,1)</f>
        <v>0.5</v>
      </c>
      <c r="BB68">
        <f ca="1">OFFSET(Coastal_DDF!$F$10,AM68,AY68,1,1)</f>
        <v>6</v>
      </c>
      <c r="BC68">
        <f ca="1">OFFSET(Coastal_DDF!$F$10,AM68,AY68+1,1,1)</f>
        <v>7.5</v>
      </c>
      <c r="BD68">
        <f t="shared" ca="1" si="12"/>
        <v>3</v>
      </c>
      <c r="BE68">
        <f t="shared" ca="1" si="13"/>
        <v>7.0409753067599965</v>
      </c>
      <c r="BF68">
        <f t="shared" ca="1" si="14"/>
        <v>11298.441845498563</v>
      </c>
      <c r="BG68">
        <f t="shared" ca="1" si="21"/>
        <v>11298.441845498563</v>
      </c>
    </row>
    <row r="69" spans="1:59" x14ac:dyDescent="0.25">
      <c r="A69">
        <f>Inputs!A69</f>
        <v>100</v>
      </c>
      <c r="B69" t="str">
        <f>Inputs!B69</f>
        <v>NFWF-44167</v>
      </c>
      <c r="C69">
        <f>Inputs!C69</f>
        <v>1</v>
      </c>
      <c r="D69" t="str">
        <f>Inputs!D69</f>
        <v>MD_NFWF_44167_1_0005</v>
      </c>
      <c r="E69">
        <f>Inputs!E69</f>
        <v>4</v>
      </c>
      <c r="F69">
        <f>Inputs!F69</f>
        <v>0</v>
      </c>
      <c r="G69">
        <f>Inputs!G69</f>
        <v>253.607662</v>
      </c>
      <c r="H69">
        <f>Inputs!H69</f>
        <v>2.9789629999999998</v>
      </c>
      <c r="I69">
        <f>Inputs!I69</f>
        <v>2.8489629999999999</v>
      </c>
      <c r="J69">
        <f>Inputs!J69</f>
        <v>0.13</v>
      </c>
      <c r="K69">
        <f>Inputs!K69</f>
        <v>5.12</v>
      </c>
      <c r="L69" t="str">
        <f>Inputs!L69</f>
        <v>C</v>
      </c>
      <c r="M69">
        <f>Inputs!M69</f>
        <v>0</v>
      </c>
      <c r="N69">
        <f>Inputs!N69</f>
        <v>9.7735009689199988</v>
      </c>
      <c r="O69">
        <f>Inputs!O69</f>
        <v>9.3469917689199988</v>
      </c>
      <c r="P69">
        <f>Inputs!P69</f>
        <v>0.42650920000000003</v>
      </c>
      <c r="Q69">
        <f>Inputs!Q69</f>
        <v>2729.8075130018001</v>
      </c>
      <c r="R69" t="str">
        <f>Inputs!R69</f>
        <v>County Property Assessor</v>
      </c>
      <c r="S69" t="str">
        <f>Inputs!S69</f>
        <v>03-053172</v>
      </c>
      <c r="T69">
        <f>Inputs!T69</f>
        <v>213300</v>
      </c>
      <c r="U69">
        <f>Inputs!U69</f>
        <v>214019.84999999998</v>
      </c>
      <c r="V69">
        <f>IF(Inputs!V69=0,2020,Inputs!V69)</f>
        <v>2020</v>
      </c>
      <c r="W69">
        <f>Inputs!W69</f>
        <v>1998</v>
      </c>
      <c r="X69" t="str">
        <f>IF(Inputs!X69=0,"UNK",Inputs!X69)</f>
        <v>RES1</v>
      </c>
      <c r="Y69" t="str">
        <f>Inputs!Y69</f>
        <v>No</v>
      </c>
      <c r="Z69" t="str">
        <f>Inputs!Z69</f>
        <v>Piers</v>
      </c>
      <c r="AA69">
        <f>Inputs!AA69</f>
        <v>2265</v>
      </c>
      <c r="AB69">
        <f>IF(Z69="Piers",MIN(2,Inputs!AB69),Inputs!AB69)</f>
        <v>2</v>
      </c>
      <c r="AC69">
        <f>Inputs!AC69</f>
        <v>9</v>
      </c>
      <c r="AD69">
        <f>Inputs!AD69</f>
        <v>94.49</v>
      </c>
      <c r="AE69">
        <f>Inputs!AE69</f>
        <v>2006</v>
      </c>
      <c r="AF69">
        <f>Inputs!AF69</f>
        <v>0</v>
      </c>
      <c r="AG69">
        <f>Inputs!AG69</f>
        <v>2.85</v>
      </c>
      <c r="AH69">
        <f>Inputs!AH69</f>
        <v>0</v>
      </c>
      <c r="AI69" t="str">
        <f>Inputs!AI69</f>
        <v>house above garage; actually two properties; Calvert County</v>
      </c>
      <c r="AJ69" t="str">
        <f>Inputs!AJ69</f>
        <v>9311 Bay Ave North Beach MD 20714</v>
      </c>
      <c r="AK69" t="str">
        <f t="shared" si="16"/>
        <v>Res</v>
      </c>
      <c r="AL69" t="str">
        <f t="shared" si="6"/>
        <v>RES1.2.Piers</v>
      </c>
      <c r="AM69">
        <f t="shared" si="17"/>
        <v>29</v>
      </c>
      <c r="AN69">
        <f t="shared" si="7"/>
        <v>0.77350096891999875</v>
      </c>
      <c r="AO69">
        <f t="shared" si="18"/>
        <v>12</v>
      </c>
      <c r="AP69">
        <f ca="1">OFFSET(Coastal_DDF!$F$10,0,AO69,1,1)</f>
        <v>0.5</v>
      </c>
      <c r="AQ69">
        <f ca="1">OFFSET(Coastal_DDF!$F$10,0,AO69+1,1,1)</f>
        <v>1</v>
      </c>
      <c r="AR69">
        <f ca="1">OFFSET(Coastal_DDF!$F$10,AM69,AO69,1,1)</f>
        <v>7.5</v>
      </c>
      <c r="AS69">
        <f ca="1">OFFSET(Coastal_DDF!$F$10,AM69,AO69+1,1,1)</f>
        <v>9</v>
      </c>
      <c r="AT69">
        <f t="shared" ca="1" si="8"/>
        <v>3</v>
      </c>
      <c r="AU69">
        <f t="shared" ca="1" si="9"/>
        <v>8.3205029067599963</v>
      </c>
      <c r="AV69">
        <f t="shared" ca="1" si="10"/>
        <v>17807.527840293384</v>
      </c>
      <c r="AW69">
        <f t="shared" ca="1" si="19"/>
        <v>17807.527840293384</v>
      </c>
      <c r="AX69">
        <f t="shared" si="11"/>
        <v>0.34699176891999883</v>
      </c>
      <c r="AY69">
        <f t="shared" si="20"/>
        <v>11</v>
      </c>
      <c r="AZ69">
        <f ca="1">OFFSET(Coastal_DDF!$F$10,0,AY69,1,1)</f>
        <v>0</v>
      </c>
      <c r="BA69">
        <f ca="1">OFFSET(Coastal_DDF!$F$10,0,AY69+1,1,1)</f>
        <v>0.5</v>
      </c>
      <c r="BB69">
        <f ca="1">OFFSET(Coastal_DDF!$F$10,AM69,AY69,1,1)</f>
        <v>6</v>
      </c>
      <c r="BC69">
        <f ca="1">OFFSET(Coastal_DDF!$F$10,AM69,AY69+1,1,1)</f>
        <v>7.5</v>
      </c>
      <c r="BD69">
        <f t="shared" ca="1" si="12"/>
        <v>3</v>
      </c>
      <c r="BE69">
        <f t="shared" ca="1" si="13"/>
        <v>7.0409753067599965</v>
      </c>
      <c r="BF69">
        <f t="shared" ca="1" si="14"/>
        <v>15069.084790064782</v>
      </c>
      <c r="BG69">
        <f t="shared" ca="1" si="21"/>
        <v>15069.084790064782</v>
      </c>
    </row>
    <row r="70" spans="1:59" x14ac:dyDescent="0.25">
      <c r="A70">
        <f>Inputs!A70</f>
        <v>2</v>
      </c>
      <c r="B70" t="str">
        <f>Inputs!B70</f>
        <v>NFWF-44109</v>
      </c>
      <c r="C70">
        <f>Inputs!C70</f>
        <v>1</v>
      </c>
      <c r="D70" t="str">
        <f>Inputs!D70</f>
        <v>NJ_NFWF_44109_1_0001</v>
      </c>
      <c r="E70">
        <f>Inputs!E70</f>
        <v>8</v>
      </c>
      <c r="F70">
        <f>Inputs!F70</f>
        <v>0</v>
      </c>
      <c r="G70">
        <f>Inputs!G70</f>
        <v>151.25449399999999</v>
      </c>
      <c r="H70">
        <f>Inputs!H70</f>
        <v>1.003179</v>
      </c>
      <c r="I70">
        <f>Inputs!I70</f>
        <v>0.96317900000000001</v>
      </c>
      <c r="J70">
        <f>Inputs!J70</f>
        <v>0.04</v>
      </c>
      <c r="K70">
        <f>Inputs!K70</f>
        <v>4.9000000000000004</v>
      </c>
      <c r="L70" t="str">
        <f>Inputs!L70</f>
        <v>C</v>
      </c>
      <c r="M70">
        <f>Inputs!M70</f>
        <v>0</v>
      </c>
      <c r="N70">
        <f>Inputs!N70</f>
        <v>3.2912697903600003</v>
      </c>
      <c r="O70">
        <f>Inputs!O70</f>
        <v>3.1600361903600001</v>
      </c>
      <c r="P70">
        <f>Inputs!P70</f>
        <v>0.13123360000000001</v>
      </c>
      <c r="Q70">
        <f>Inputs!Q70</f>
        <v>1628.0882479666</v>
      </c>
      <c r="R70" t="str">
        <f>Inputs!R70</f>
        <v>County Tax Assessor</v>
      </c>
      <c r="S70" t="str">
        <f>Inputs!S70</f>
        <v>326.204; 42</v>
      </c>
      <c r="T70">
        <f>Inputs!T70</f>
        <v>221300</v>
      </c>
      <c r="U70">
        <f>Inputs!U70</f>
        <v>211651.20000000001</v>
      </c>
      <c r="V70">
        <f>IF(Inputs!V70=0,2020,Inputs!V70)</f>
        <v>2020</v>
      </c>
      <c r="W70">
        <f>Inputs!W70</f>
        <v>2003</v>
      </c>
      <c r="X70" t="str">
        <f>IF(Inputs!X70=0,"UNK",Inputs!X70)</f>
        <v>RES1</v>
      </c>
      <c r="Y70" t="str">
        <f>Inputs!Y70</f>
        <v>No</v>
      </c>
      <c r="Z70" t="str">
        <f>Inputs!Z70</f>
        <v>Piers</v>
      </c>
      <c r="AA70">
        <f>Inputs!AA70</f>
        <v>2208</v>
      </c>
      <c r="AB70">
        <f>IF(Z70="Piers",MIN(2,Inputs!AB70),Inputs!AB70)</f>
        <v>2</v>
      </c>
      <c r="AC70">
        <f>Inputs!AC70</f>
        <v>9</v>
      </c>
      <c r="AD70">
        <f>Inputs!AD70</f>
        <v>90.15</v>
      </c>
      <c r="AE70">
        <f>Inputs!AE70</f>
        <v>2006</v>
      </c>
      <c r="AF70" t="str">
        <f>Inputs!AF70</f>
        <v>added single garage value</v>
      </c>
      <c r="AG70">
        <f>Inputs!AG70</f>
        <v>0</v>
      </c>
      <c r="AH70" t="str">
        <f>Inputs!AH70</f>
        <v>http://www.tax.co.ocean.nj.us/frmTaxBoardTaxListDetail?ID=99514</v>
      </c>
      <c r="AI70" t="str">
        <f>Inputs!AI70</f>
        <v>garage and some finished space under the piers</v>
      </c>
      <c r="AJ70" t="str">
        <f>Inputs!AJ70</f>
        <v>28 Iowa Ct Little Egg Harbor Township, New Jersey</v>
      </c>
      <c r="AK70" t="str">
        <f t="shared" si="16"/>
        <v>Res</v>
      </c>
      <c r="AL70" t="str">
        <f t="shared" si="6"/>
        <v>RES1.2.Piers</v>
      </c>
      <c r="AM70">
        <f t="shared" si="17"/>
        <v>29</v>
      </c>
      <c r="AN70">
        <f t="shared" si="7"/>
        <v>-5.7087302096399997</v>
      </c>
      <c r="AO70">
        <f t="shared" si="18"/>
        <v>4</v>
      </c>
      <c r="AP70">
        <f ca="1">OFFSET(Coastal_DDF!$F$10,0,AO70,1,1)</f>
        <v>-6</v>
      </c>
      <c r="AQ70">
        <f ca="1">OFFSET(Coastal_DDF!$F$10,0,AO70+1,1,1)</f>
        <v>-5</v>
      </c>
      <c r="AR70">
        <f ca="1">OFFSET(Coastal_DDF!$F$10,AM70,AO70,1,1)</f>
        <v>0</v>
      </c>
      <c r="AS70">
        <f ca="1">OFFSET(Coastal_DDF!$F$10,AM70,AO70+1,1,1)</f>
        <v>0</v>
      </c>
      <c r="AT70">
        <f t="shared" ca="1" si="8"/>
        <v>0</v>
      </c>
      <c r="AU70">
        <f t="shared" ca="1" si="9"/>
        <v>0</v>
      </c>
      <c r="AV70">
        <f t="shared" ca="1" si="10"/>
        <v>0</v>
      </c>
      <c r="AW70">
        <f t="shared" ca="1" si="19"/>
        <v>0</v>
      </c>
      <c r="AX70">
        <f t="shared" si="11"/>
        <v>-5.8399638096400004</v>
      </c>
      <c r="AY70">
        <f t="shared" si="20"/>
        <v>4</v>
      </c>
      <c r="AZ70">
        <f ca="1">OFFSET(Coastal_DDF!$F$10,0,AY70,1,1)</f>
        <v>-6</v>
      </c>
      <c r="BA70">
        <f ca="1">OFFSET(Coastal_DDF!$F$10,0,AY70+1,1,1)</f>
        <v>-5</v>
      </c>
      <c r="BB70">
        <f ca="1">OFFSET(Coastal_DDF!$F$10,AM70,AY70,1,1)</f>
        <v>0</v>
      </c>
      <c r="BC70">
        <f ca="1">OFFSET(Coastal_DDF!$F$10,AM70,AY70+1,1,1)</f>
        <v>0</v>
      </c>
      <c r="BD70">
        <f t="shared" ca="1" si="12"/>
        <v>0</v>
      </c>
      <c r="BE70">
        <f t="shared" ca="1" si="13"/>
        <v>0</v>
      </c>
      <c r="BF70">
        <f t="shared" ca="1" si="14"/>
        <v>0</v>
      </c>
      <c r="BG70">
        <f t="shared" ca="1" si="21"/>
        <v>0</v>
      </c>
    </row>
    <row r="71" spans="1:59" x14ac:dyDescent="0.25">
      <c r="A71">
        <f>Inputs!A71</f>
        <v>2</v>
      </c>
      <c r="B71" t="str">
        <f>Inputs!B71</f>
        <v>NFWF-44109</v>
      </c>
      <c r="C71">
        <f>Inputs!C71</f>
        <v>1</v>
      </c>
      <c r="D71" t="str">
        <f>Inputs!D71</f>
        <v>NJ_NFWF_44109_1_0002</v>
      </c>
      <c r="E71">
        <f>Inputs!E71</f>
        <v>8</v>
      </c>
      <c r="F71">
        <f>Inputs!F71</f>
        <v>0</v>
      </c>
      <c r="G71">
        <f>Inputs!G71</f>
        <v>182.97385700000001</v>
      </c>
      <c r="H71">
        <f>Inputs!H71</f>
        <v>0.85238599999999998</v>
      </c>
      <c r="I71">
        <f>Inputs!I71</f>
        <v>0.84238599999999997</v>
      </c>
      <c r="J71">
        <f>Inputs!J71</f>
        <v>0.01</v>
      </c>
      <c r="K71">
        <f>Inputs!K71</f>
        <v>4.9000000000000004</v>
      </c>
      <c r="L71" t="str">
        <f>Inputs!L71</f>
        <v>C</v>
      </c>
      <c r="M71">
        <f>Inputs!M71</f>
        <v>0</v>
      </c>
      <c r="N71">
        <f>Inputs!N71</f>
        <v>2.7965420842399999</v>
      </c>
      <c r="O71">
        <f>Inputs!O71</f>
        <v>2.76373368424</v>
      </c>
      <c r="P71">
        <f>Inputs!P71</f>
        <v>3.2808400000000001E-2</v>
      </c>
      <c r="Q71">
        <f>Inputs!Q71</f>
        <v>1969.5122993622999</v>
      </c>
      <c r="R71" t="str">
        <f>Inputs!R71</f>
        <v>County Tax Assessor</v>
      </c>
      <c r="S71" t="str">
        <f>Inputs!S71</f>
        <v>326.204; 40</v>
      </c>
      <c r="T71">
        <f>Inputs!T71</f>
        <v>184100</v>
      </c>
      <c r="U71">
        <f>Inputs!U71</f>
        <v>208517.75999999998</v>
      </c>
      <c r="V71">
        <f>IF(Inputs!V71=0,2020,Inputs!V71)</f>
        <v>2020</v>
      </c>
      <c r="W71">
        <f>Inputs!W71</f>
        <v>1973</v>
      </c>
      <c r="X71" t="str">
        <f>IF(Inputs!X71=0,"UNK",Inputs!X71)</f>
        <v>RES1</v>
      </c>
      <c r="Y71" t="str">
        <f>Inputs!Y71</f>
        <v>No</v>
      </c>
      <c r="Z71" t="str">
        <f>Inputs!Z71</f>
        <v>Piers</v>
      </c>
      <c r="AA71">
        <f>Inputs!AA71</f>
        <v>2306</v>
      </c>
      <c r="AB71">
        <f>IF(Z71="Piers",MIN(2,Inputs!AB71),Inputs!AB71)</f>
        <v>2</v>
      </c>
      <c r="AC71">
        <f>Inputs!AC71</f>
        <v>9</v>
      </c>
      <c r="AD71">
        <f>Inputs!AD71</f>
        <v>84.96</v>
      </c>
      <c r="AE71">
        <f>Inputs!AE71</f>
        <v>2006</v>
      </c>
      <c r="AF71" t="str">
        <f>Inputs!AF71</f>
        <v>added single garage value</v>
      </c>
      <c r="AG71">
        <f>Inputs!AG71</f>
        <v>0</v>
      </c>
      <c r="AH71" t="str">
        <f>Inputs!AH71</f>
        <v>http://www.tax.co.ocean.nj.us/frmTaxBoardTaxListDetail?ID=99512</v>
      </c>
      <c r="AI71" t="str">
        <f>Inputs!AI71</f>
        <v>split level; attached one car garage; looks condemned in most recent google earth pic</v>
      </c>
      <c r="AJ71" t="str">
        <f>Inputs!AJ71</f>
        <v>24 Iowa Ct Little Egg Harbor Township, New Jersey</v>
      </c>
      <c r="AK71" t="str">
        <f t="shared" si="16"/>
        <v>Res</v>
      </c>
      <c r="AL71" t="str">
        <f t="shared" si="6"/>
        <v>RES1.2.Piers</v>
      </c>
      <c r="AM71">
        <f t="shared" si="17"/>
        <v>29</v>
      </c>
      <c r="AN71">
        <f t="shared" si="7"/>
        <v>-6.2034579157599996</v>
      </c>
      <c r="AO71">
        <f t="shared" si="18"/>
        <v>3</v>
      </c>
      <c r="AP71">
        <f ca="1">OFFSET(Coastal_DDF!$F$10,0,AO71,1,1)</f>
        <v>-7</v>
      </c>
      <c r="AQ71">
        <f ca="1">OFFSET(Coastal_DDF!$F$10,0,AO71+1,1,1)</f>
        <v>-6</v>
      </c>
      <c r="AR71">
        <f ca="1">OFFSET(Coastal_DDF!$F$10,AM71,AO71,1,1)</f>
        <v>0</v>
      </c>
      <c r="AS71">
        <f ca="1">OFFSET(Coastal_DDF!$F$10,AM71,AO71+1,1,1)</f>
        <v>0</v>
      </c>
      <c r="AT71">
        <f t="shared" ca="1" si="8"/>
        <v>0</v>
      </c>
      <c r="AU71">
        <f t="shared" ca="1" si="9"/>
        <v>0</v>
      </c>
      <c r="AV71">
        <f t="shared" ca="1" si="10"/>
        <v>0</v>
      </c>
      <c r="AW71">
        <f t="shared" ca="1" si="19"/>
        <v>0</v>
      </c>
      <c r="AX71">
        <f t="shared" si="11"/>
        <v>-6.23626631576</v>
      </c>
      <c r="AY71">
        <f t="shared" si="20"/>
        <v>3</v>
      </c>
      <c r="AZ71">
        <f ca="1">OFFSET(Coastal_DDF!$F$10,0,AY71,1,1)</f>
        <v>-7</v>
      </c>
      <c r="BA71">
        <f ca="1">OFFSET(Coastal_DDF!$F$10,0,AY71+1,1,1)</f>
        <v>-6</v>
      </c>
      <c r="BB71">
        <f ca="1">OFFSET(Coastal_DDF!$F$10,AM71,AY71,1,1)</f>
        <v>0</v>
      </c>
      <c r="BC71">
        <f ca="1">OFFSET(Coastal_DDF!$F$10,AM71,AY71+1,1,1)</f>
        <v>0</v>
      </c>
      <c r="BD71">
        <f t="shared" ca="1" si="12"/>
        <v>0</v>
      </c>
      <c r="BE71">
        <f t="shared" ca="1" si="13"/>
        <v>0</v>
      </c>
      <c r="BF71">
        <f t="shared" ca="1" si="14"/>
        <v>0</v>
      </c>
      <c r="BG71">
        <f t="shared" ca="1" si="21"/>
        <v>0</v>
      </c>
    </row>
    <row r="72" spans="1:59" x14ac:dyDescent="0.25">
      <c r="A72">
        <f>Inputs!A72</f>
        <v>2</v>
      </c>
      <c r="B72" t="str">
        <f>Inputs!B72</f>
        <v>NFWF-44109</v>
      </c>
      <c r="C72">
        <f>Inputs!C72</f>
        <v>1</v>
      </c>
      <c r="D72" t="str">
        <f>Inputs!D72</f>
        <v>NJ_NFWF_44109_1_0003</v>
      </c>
      <c r="E72">
        <f>Inputs!E72</f>
        <v>8</v>
      </c>
      <c r="F72">
        <f>Inputs!F72</f>
        <v>0</v>
      </c>
      <c r="G72">
        <f>Inputs!G72</f>
        <v>180.902252</v>
      </c>
      <c r="H72">
        <f>Inputs!H72</f>
        <v>0.90127900000000005</v>
      </c>
      <c r="I72">
        <f>Inputs!I72</f>
        <v>0.81127899999999997</v>
      </c>
      <c r="J72">
        <f>Inputs!J72</f>
        <v>0.09</v>
      </c>
      <c r="K72">
        <f>Inputs!K72</f>
        <v>4.9000000000000004</v>
      </c>
      <c r="L72" t="str">
        <f>Inputs!L72</f>
        <v>C</v>
      </c>
      <c r="M72">
        <f>Inputs!M72</f>
        <v>0</v>
      </c>
      <c r="N72">
        <f>Inputs!N72</f>
        <v>2.9569521943600003</v>
      </c>
      <c r="O72">
        <f>Inputs!O72</f>
        <v>2.6616765943599998</v>
      </c>
      <c r="P72">
        <f>Inputs!P72</f>
        <v>0.29527559999999997</v>
      </c>
      <c r="Q72">
        <f>Inputs!Q72</f>
        <v>1947.2137503028</v>
      </c>
      <c r="R72" t="str">
        <f>Inputs!R72</f>
        <v>County Tax Assessor</v>
      </c>
      <c r="S72" t="str">
        <f>Inputs!S72</f>
        <v xml:space="preserve"> 326.204; 48</v>
      </c>
      <c r="T72">
        <f>Inputs!T72</f>
        <v>111700</v>
      </c>
      <c r="U72">
        <f>Inputs!U72</f>
        <v>211959.52</v>
      </c>
      <c r="V72">
        <f>IF(Inputs!V72=0,2020,Inputs!V72)</f>
        <v>2020</v>
      </c>
      <c r="W72">
        <f>Inputs!W72</f>
        <v>1968</v>
      </c>
      <c r="X72" t="str">
        <f>IF(Inputs!X72=0,"UNK",Inputs!X72)</f>
        <v>RES1</v>
      </c>
      <c r="Y72" t="str">
        <f>Inputs!Y72</f>
        <v>No</v>
      </c>
      <c r="Z72" t="str">
        <f>Inputs!Z72</f>
        <v>Slab</v>
      </c>
      <c r="AA72">
        <f>Inputs!AA72</f>
        <v>2262</v>
      </c>
      <c r="AB72">
        <f>IF(Z72="Piers",MIN(2,Inputs!AB72),Inputs!AB72)</f>
        <v>2</v>
      </c>
      <c r="AC72">
        <f>Inputs!AC72</f>
        <v>1</v>
      </c>
      <c r="AD72">
        <f>Inputs!AD72</f>
        <v>84.96</v>
      </c>
      <c r="AE72">
        <f>Inputs!AE72</f>
        <v>2006</v>
      </c>
      <c r="AF72" t="str">
        <f>Inputs!AF72</f>
        <v>added two garage value</v>
      </c>
      <c r="AG72">
        <f>Inputs!AG72</f>
        <v>0</v>
      </c>
      <c r="AH72" t="str">
        <f>Inputs!AH72</f>
        <v>http://www.tax.co.ocean.nj.us/frmTaxBoardTaxListDetail?ID=99520</v>
      </c>
      <c r="AI72" t="str">
        <f>Inputs!AI72</f>
        <v>Split level with two car garage attached</v>
      </c>
      <c r="AJ72" t="str">
        <f>Inputs!AJ72</f>
        <v>40 Iowa Ct Little Egg Harbor Township, New Jersey</v>
      </c>
      <c r="AK72" t="str">
        <f t="shared" si="16"/>
        <v>Res</v>
      </c>
      <c r="AL72" t="str">
        <f t="shared" si="6"/>
        <v>RES1.2.Slab</v>
      </c>
      <c r="AM72">
        <f t="shared" si="17"/>
        <v>2</v>
      </c>
      <c r="AN72">
        <f t="shared" si="7"/>
        <v>1.9569521943600003</v>
      </c>
      <c r="AO72">
        <f t="shared" si="18"/>
        <v>13</v>
      </c>
      <c r="AP72">
        <f ca="1">OFFSET(Coastal_DDF!$F$10,0,AO72,1,1)</f>
        <v>1</v>
      </c>
      <c r="AQ72">
        <f ca="1">OFFSET(Coastal_DDF!$F$10,0,AO72+1,1,1)</f>
        <v>2</v>
      </c>
      <c r="AR72">
        <f ca="1">OFFSET(Coastal_DDF!$F$10,AM72,AO72,1,1)</f>
        <v>15</v>
      </c>
      <c r="AS72">
        <f ca="1">OFFSET(Coastal_DDF!$F$10,AM72,AO72+1,1,1)</f>
        <v>20</v>
      </c>
      <c r="AT72">
        <f t="shared" ca="1" si="8"/>
        <v>5</v>
      </c>
      <c r="AU72">
        <f t="shared" ca="1" si="9"/>
        <v>19.784760971800001</v>
      </c>
      <c r="AV72">
        <f t="shared" ca="1" si="10"/>
        <v>41935.684388974616</v>
      </c>
      <c r="AW72">
        <f t="shared" ca="1" si="19"/>
        <v>41935.684388974616</v>
      </c>
      <c r="AX72">
        <f t="shared" si="11"/>
        <v>1.6616765943599998</v>
      </c>
      <c r="AY72">
        <f t="shared" si="20"/>
        <v>13</v>
      </c>
      <c r="AZ72">
        <f ca="1">OFFSET(Coastal_DDF!$F$10,0,AY72,1,1)</f>
        <v>1</v>
      </c>
      <c r="BA72">
        <f ca="1">OFFSET(Coastal_DDF!$F$10,0,AY72+1,1,1)</f>
        <v>2</v>
      </c>
      <c r="BB72">
        <f ca="1">OFFSET(Coastal_DDF!$F$10,AM72,AY72,1,1)</f>
        <v>15</v>
      </c>
      <c r="BC72">
        <f ca="1">OFFSET(Coastal_DDF!$F$10,AM72,AY72+1,1,1)</f>
        <v>20</v>
      </c>
      <c r="BD72">
        <f t="shared" ca="1" si="12"/>
        <v>5</v>
      </c>
      <c r="BE72">
        <f t="shared" ca="1" si="13"/>
        <v>18.3083829718</v>
      </c>
      <c r="BF72">
        <f t="shared" ca="1" si="14"/>
        <v>38806.360666789013</v>
      </c>
      <c r="BG72">
        <f t="shared" ca="1" si="21"/>
        <v>38806.360666789013</v>
      </c>
    </row>
    <row r="73" spans="1:59" x14ac:dyDescent="0.25">
      <c r="A73">
        <f>Inputs!A73</f>
        <v>2</v>
      </c>
      <c r="B73" t="str">
        <f>Inputs!B73</f>
        <v>NFWF-44109</v>
      </c>
      <c r="C73">
        <f>Inputs!C73</f>
        <v>1</v>
      </c>
      <c r="D73" t="str">
        <f>Inputs!D73</f>
        <v>NJ_NFWF_44109_1_0004</v>
      </c>
      <c r="E73">
        <f>Inputs!E73</f>
        <v>8</v>
      </c>
      <c r="F73">
        <f>Inputs!F73</f>
        <v>0</v>
      </c>
      <c r="G73">
        <f>Inputs!G73</f>
        <v>171.634951</v>
      </c>
      <c r="H73">
        <f>Inputs!H73</f>
        <v>1.2296819999999999</v>
      </c>
      <c r="I73">
        <f>Inputs!I73</f>
        <v>1.1896819999999999</v>
      </c>
      <c r="J73">
        <f>Inputs!J73</f>
        <v>0.04</v>
      </c>
      <c r="K73">
        <f>Inputs!K73</f>
        <v>4.9000000000000004</v>
      </c>
      <c r="L73" t="str">
        <f>Inputs!L73</f>
        <v>C</v>
      </c>
      <c r="M73">
        <f>Inputs!M73</f>
        <v>0</v>
      </c>
      <c r="N73">
        <f>Inputs!N73</f>
        <v>4.0343898928800002</v>
      </c>
      <c r="O73">
        <f>Inputs!O73</f>
        <v>3.9031562928799999</v>
      </c>
      <c r="P73">
        <f>Inputs!P73</f>
        <v>0.13123360000000001</v>
      </c>
      <c r="Q73">
        <f>Inputs!Q73</f>
        <v>1847.4614490689</v>
      </c>
      <c r="R73" t="str">
        <f>Inputs!R73</f>
        <v>County Tax Assessor</v>
      </c>
      <c r="S73" t="str">
        <f>Inputs!S73</f>
        <v>326.204; 43</v>
      </c>
      <c r="T73">
        <f>Inputs!T73</f>
        <v>98500</v>
      </c>
      <c r="U73">
        <f>Inputs!U73</f>
        <v>156440.48000000001</v>
      </c>
      <c r="V73">
        <f>IF(Inputs!V73=0,2020,Inputs!V73)</f>
        <v>2020</v>
      </c>
      <c r="W73">
        <f>Inputs!W73</f>
        <v>1986</v>
      </c>
      <c r="X73" t="str">
        <f>IF(Inputs!X73=0,"UNK",Inputs!X73)</f>
        <v>RES1</v>
      </c>
      <c r="Y73" t="str">
        <f>Inputs!Y73</f>
        <v>No</v>
      </c>
      <c r="Z73" t="str">
        <f>Inputs!Z73</f>
        <v>Piers</v>
      </c>
      <c r="AA73">
        <f>Inputs!AA73</f>
        <v>1472</v>
      </c>
      <c r="AB73">
        <f>IF(Z73="Piers",MIN(2,Inputs!AB73),Inputs!AB73)</f>
        <v>1</v>
      </c>
      <c r="AC73">
        <f>Inputs!AC73</f>
        <v>9</v>
      </c>
      <c r="AD73">
        <f>Inputs!AD73</f>
        <v>92.84</v>
      </c>
      <c r="AE73">
        <f>Inputs!AE73</f>
        <v>2006</v>
      </c>
      <c r="AF73" t="str">
        <f>Inputs!AF73</f>
        <v>added two garage value</v>
      </c>
      <c r="AG73">
        <f>Inputs!AG73</f>
        <v>0</v>
      </c>
      <c r="AH73" t="str">
        <f>Inputs!AH73</f>
        <v>http://www.tax.co.ocean.nj.us/frmTaxBoardTaxListDetail?ID=99515</v>
      </c>
      <c r="AI73" t="str">
        <f>Inputs!AI73</f>
        <v>two car garage under the piers</v>
      </c>
      <c r="AJ73" t="str">
        <f>Inputs!AJ73</f>
        <v>30 Iowa Ct Little Egg Harbor Township, New Jersey</v>
      </c>
      <c r="AK73" t="str">
        <f t="shared" si="16"/>
        <v>Res</v>
      </c>
      <c r="AL73" t="str">
        <f t="shared" si="6"/>
        <v>RES1.1.Piers</v>
      </c>
      <c r="AM73">
        <f t="shared" si="17"/>
        <v>5</v>
      </c>
      <c r="AN73">
        <f t="shared" si="7"/>
        <v>-4.9656101071199998</v>
      </c>
      <c r="AO73">
        <f t="shared" si="18"/>
        <v>5</v>
      </c>
      <c r="AP73">
        <f ca="1">OFFSET(Coastal_DDF!$F$10,0,AO73,1,1)</f>
        <v>-5</v>
      </c>
      <c r="AQ73">
        <f ca="1">OFFSET(Coastal_DDF!$F$10,0,AO73+1,1,1)</f>
        <v>-4</v>
      </c>
      <c r="AR73">
        <f ca="1">OFFSET(Coastal_DDF!$F$10,AM73,AO73,1,1)</f>
        <v>2</v>
      </c>
      <c r="AS73">
        <f ca="1">OFFSET(Coastal_DDF!$F$10,AM73,AO73+1,1,1)</f>
        <v>3</v>
      </c>
      <c r="AT73">
        <f t="shared" ca="1" si="8"/>
        <v>1</v>
      </c>
      <c r="AU73">
        <f t="shared" ca="1" si="9"/>
        <v>2.0343898928800002</v>
      </c>
      <c r="AV73">
        <f t="shared" ca="1" si="10"/>
        <v>3182.6093134929583</v>
      </c>
      <c r="AW73">
        <f t="shared" ca="1" si="19"/>
        <v>3182.6093134929583</v>
      </c>
      <c r="AX73">
        <f t="shared" si="11"/>
        <v>-5.0968437071199997</v>
      </c>
      <c r="AY73">
        <f t="shared" si="20"/>
        <v>4</v>
      </c>
      <c r="AZ73">
        <f ca="1">OFFSET(Coastal_DDF!$F$10,0,AY73,1,1)</f>
        <v>-6</v>
      </c>
      <c r="BA73">
        <f ca="1">OFFSET(Coastal_DDF!$F$10,0,AY73+1,1,1)</f>
        <v>-5</v>
      </c>
      <c r="BB73">
        <f ca="1">OFFSET(Coastal_DDF!$F$10,AM73,AY73,1,1)</f>
        <v>1.3333333333333333</v>
      </c>
      <c r="BC73">
        <f ca="1">OFFSET(Coastal_DDF!$F$10,AM73,AY73+1,1,1)</f>
        <v>2</v>
      </c>
      <c r="BD73">
        <f t="shared" ca="1" si="12"/>
        <v>0.66666666666666674</v>
      </c>
      <c r="BE73">
        <f t="shared" ca="1" si="13"/>
        <v>1.9354375285866667</v>
      </c>
      <c r="BF73">
        <f t="shared" ca="1" si="14"/>
        <v>3027.8077598211189</v>
      </c>
      <c r="BG73">
        <f t="shared" ca="1" si="21"/>
        <v>3027.8077598211189</v>
      </c>
    </row>
    <row r="74" spans="1:59" x14ac:dyDescent="0.25">
      <c r="A74">
        <f>Inputs!A74</f>
        <v>2</v>
      </c>
      <c r="B74" t="str">
        <f>Inputs!B74</f>
        <v>NFWF-44109</v>
      </c>
      <c r="C74">
        <f>Inputs!C74</f>
        <v>1</v>
      </c>
      <c r="D74" t="str">
        <f>Inputs!D74</f>
        <v>NJ_NFWF_44109_1_0005</v>
      </c>
      <c r="E74">
        <f>Inputs!E74</f>
        <v>8</v>
      </c>
      <c r="F74">
        <f>Inputs!F74</f>
        <v>0</v>
      </c>
      <c r="G74">
        <f>Inputs!G74</f>
        <v>180.62040200000001</v>
      </c>
      <c r="H74">
        <f>Inputs!H74</f>
        <v>1.3351409999999999</v>
      </c>
      <c r="I74">
        <f>Inputs!I74</f>
        <v>1.1251409999999999</v>
      </c>
      <c r="J74">
        <f>Inputs!J74</f>
        <v>0.21</v>
      </c>
      <c r="K74">
        <f>Inputs!K74</f>
        <v>4.9000000000000004</v>
      </c>
      <c r="L74" t="str">
        <f>Inputs!L74</f>
        <v>C</v>
      </c>
      <c r="M74">
        <f>Inputs!M74</f>
        <v>0</v>
      </c>
      <c r="N74">
        <f>Inputs!N74</f>
        <v>4.3803839984399993</v>
      </c>
      <c r="O74">
        <f>Inputs!O74</f>
        <v>3.6914075984399997</v>
      </c>
      <c r="P74">
        <f>Inputs!P74</f>
        <v>0.68897639999999993</v>
      </c>
      <c r="Q74">
        <f>Inputs!Q74</f>
        <v>1944.1799450878</v>
      </c>
      <c r="R74" t="str">
        <f>Inputs!R74</f>
        <v>County Tax Assessor</v>
      </c>
      <c r="S74" t="str">
        <f>Inputs!S74</f>
        <v>326.204; 44</v>
      </c>
      <c r="T74">
        <f>Inputs!T74</f>
        <v>272400</v>
      </c>
      <c r="U74">
        <f>Inputs!U74</f>
        <v>350535.64409933035</v>
      </c>
      <c r="V74">
        <f>IF(Inputs!V74=0,2020,Inputs!V74)</f>
        <v>2020</v>
      </c>
      <c r="W74">
        <f>Inputs!W74</f>
        <v>2019</v>
      </c>
      <c r="X74" t="str">
        <f>IF(Inputs!X74=0,"UNK",Inputs!X74)</f>
        <v>RES1</v>
      </c>
      <c r="Y74" t="str">
        <f>Inputs!Y74</f>
        <v>No</v>
      </c>
      <c r="Z74" t="str">
        <f>Inputs!Z74</f>
        <v>Piers</v>
      </c>
      <c r="AA74">
        <f>Inputs!AA74</f>
        <v>3888.3598901756</v>
      </c>
      <c r="AB74">
        <f>IF(Z74="Piers",MIN(2,Inputs!AB74),Inputs!AB74)</f>
        <v>2</v>
      </c>
      <c r="AC74">
        <f>Inputs!AC74</f>
        <v>9</v>
      </c>
      <c r="AD74">
        <f>Inputs!AD74</f>
        <v>90.15</v>
      </c>
      <c r="AE74">
        <f>Inputs!AE74</f>
        <v>2006</v>
      </c>
      <c r="AF74">
        <f>Inputs!AF74</f>
        <v>0</v>
      </c>
      <c r="AG74">
        <f>Inputs!AG74</f>
        <v>0</v>
      </c>
      <c r="AH74" t="str">
        <f>Inputs!AH74</f>
        <v>http://www.tax.co.ocean.nj.us/frmTaxBoardTaxListDetail?ID=99516</v>
      </c>
      <c r="AI74" t="str">
        <f>Inputs!AI74</f>
        <v>Significant damage in most recent google earth image; sold as an empty lot; county assessor office indicates a building was built in 2019 but no building data is available. Other county data doesn't seem to be updated yet. Assume 2 stories and piers based on other new building in the area</v>
      </c>
      <c r="AJ74" t="str">
        <f>Inputs!AJ74</f>
        <v>32 Iowa Ct Little Egg Harbor Township, New Jersey</v>
      </c>
      <c r="AK74" t="str">
        <f t="shared" si="16"/>
        <v>Res</v>
      </c>
      <c r="AL74" t="str">
        <f t="shared" si="6"/>
        <v>RES1.2.Piers</v>
      </c>
      <c r="AM74">
        <f t="shared" si="17"/>
        <v>29</v>
      </c>
      <c r="AN74">
        <f t="shared" si="7"/>
        <v>-4.6196160015600007</v>
      </c>
      <c r="AO74">
        <f t="shared" si="18"/>
        <v>5</v>
      </c>
      <c r="AP74">
        <f ca="1">OFFSET(Coastal_DDF!$F$10,0,AO74,1,1)</f>
        <v>-5</v>
      </c>
      <c r="AQ74">
        <f ca="1">OFFSET(Coastal_DDF!$F$10,0,AO74+1,1,1)</f>
        <v>-4</v>
      </c>
      <c r="AR74">
        <f ca="1">OFFSET(Coastal_DDF!$F$10,AM74,AO74,1,1)</f>
        <v>0</v>
      </c>
      <c r="AS74">
        <f ca="1">OFFSET(Coastal_DDF!$F$10,AM74,AO74+1,1,1)</f>
        <v>0</v>
      </c>
      <c r="AT74">
        <f t="shared" ca="1" si="8"/>
        <v>0</v>
      </c>
      <c r="AU74">
        <f t="shared" ca="1" si="9"/>
        <v>0</v>
      </c>
      <c r="AV74">
        <f t="shared" ca="1" si="10"/>
        <v>0</v>
      </c>
      <c r="AW74">
        <f t="shared" ca="1" si="19"/>
        <v>0</v>
      </c>
      <c r="AX74">
        <f t="shared" si="11"/>
        <v>-5.3085924015600003</v>
      </c>
      <c r="AY74">
        <f t="shared" si="20"/>
        <v>4</v>
      </c>
      <c r="AZ74">
        <f ca="1">OFFSET(Coastal_DDF!$F$10,0,AY74,1,1)</f>
        <v>-6</v>
      </c>
      <c r="BA74">
        <f ca="1">OFFSET(Coastal_DDF!$F$10,0,AY74+1,1,1)</f>
        <v>-5</v>
      </c>
      <c r="BB74">
        <f ca="1">OFFSET(Coastal_DDF!$F$10,AM74,AY74,1,1)</f>
        <v>0</v>
      </c>
      <c r="BC74">
        <f ca="1">OFFSET(Coastal_DDF!$F$10,AM74,AY74+1,1,1)</f>
        <v>0</v>
      </c>
      <c r="BD74">
        <f t="shared" ca="1" si="12"/>
        <v>0</v>
      </c>
      <c r="BE74">
        <f t="shared" ca="1" si="13"/>
        <v>0</v>
      </c>
      <c r="BF74">
        <f t="shared" ca="1" si="14"/>
        <v>0</v>
      </c>
      <c r="BG74">
        <f t="shared" ca="1" si="21"/>
        <v>0</v>
      </c>
    </row>
    <row r="75" spans="1:59" x14ac:dyDescent="0.25">
      <c r="A75">
        <f>Inputs!A75</f>
        <v>2</v>
      </c>
      <c r="B75" t="str">
        <f>Inputs!B75</f>
        <v>NFWF-44109</v>
      </c>
      <c r="C75">
        <f>Inputs!C75</f>
        <v>1</v>
      </c>
      <c r="D75" t="str">
        <f>Inputs!D75</f>
        <v>NJ_NFWF_44109_1_0006</v>
      </c>
      <c r="E75">
        <f>Inputs!E75</f>
        <v>8</v>
      </c>
      <c r="F75">
        <f>Inputs!F75</f>
        <v>0</v>
      </c>
      <c r="G75">
        <f>Inputs!G75</f>
        <v>188.050149</v>
      </c>
      <c r="H75">
        <f>Inputs!H75</f>
        <v>1.11683</v>
      </c>
      <c r="I75">
        <f>Inputs!I75</f>
        <v>0.90683000000000002</v>
      </c>
      <c r="J75">
        <f>Inputs!J75</f>
        <v>0.21</v>
      </c>
      <c r="K75">
        <f>Inputs!K75</f>
        <v>4.9000000000000004</v>
      </c>
      <c r="L75" t="str">
        <f>Inputs!L75</f>
        <v>C</v>
      </c>
      <c r="M75">
        <f>Inputs!M75</f>
        <v>0</v>
      </c>
      <c r="N75">
        <f>Inputs!N75</f>
        <v>3.6641405371999998</v>
      </c>
      <c r="O75">
        <f>Inputs!O75</f>
        <v>2.9751641372000002</v>
      </c>
      <c r="P75">
        <f>Inputs!P75</f>
        <v>0.68897639999999993</v>
      </c>
      <c r="Q75">
        <f>Inputs!Q75</f>
        <v>2024.1529988211</v>
      </c>
      <c r="R75" t="str">
        <f>Inputs!R75</f>
        <v>County Tax Assessor</v>
      </c>
      <c r="S75" t="str">
        <f>Inputs!S75</f>
        <v>326.204; 46</v>
      </c>
      <c r="T75">
        <f>Inputs!T75</f>
        <v>195000</v>
      </c>
      <c r="U75">
        <f>Inputs!U75</f>
        <v>206390.5</v>
      </c>
      <c r="V75">
        <f>IF(Inputs!V75=0,2020,Inputs!V75)</f>
        <v>2020</v>
      </c>
      <c r="W75">
        <f>Inputs!W75</f>
        <v>1990</v>
      </c>
      <c r="X75" t="str">
        <f>IF(Inputs!X75=0,"UNK",Inputs!X75)</f>
        <v>RES1</v>
      </c>
      <c r="Y75" t="str">
        <f>Inputs!Y75</f>
        <v>No</v>
      </c>
      <c r="Z75" t="str">
        <f>Inputs!Z75</f>
        <v>Piers</v>
      </c>
      <c r="AA75">
        <f>Inputs!AA75</f>
        <v>2070</v>
      </c>
      <c r="AB75">
        <f>IF(Z75="Piers",MIN(2,Inputs!AB75),Inputs!AB75)</f>
        <v>2</v>
      </c>
      <c r="AC75">
        <f>Inputs!AC75</f>
        <v>9</v>
      </c>
      <c r="AD75">
        <f>Inputs!AD75</f>
        <v>90.15</v>
      </c>
      <c r="AE75">
        <f>Inputs!AE75</f>
        <v>2006</v>
      </c>
      <c r="AF75" t="str">
        <f>Inputs!AF75</f>
        <v>added two garage value</v>
      </c>
      <c r="AG75">
        <f>Inputs!AG75</f>
        <v>0</v>
      </c>
      <c r="AH75" t="str">
        <f>Inputs!AH75</f>
        <v>http://www.tax.co.ocean.nj.us/frmTaxBoardTaxListDetail?ID=99518</v>
      </c>
      <c r="AI75" t="str">
        <f>Inputs!AI75</f>
        <v>two car garage under the piers</v>
      </c>
      <c r="AJ75" t="str">
        <f>Inputs!AJ75</f>
        <v>36 Iowa Ct Little Egg Harbor Township, New Jersey</v>
      </c>
      <c r="AK75" t="str">
        <f t="shared" ref="AK75:AK100" si="22">VLOOKUP(X75,Btype,2,0)</f>
        <v>Res</v>
      </c>
      <c r="AL75" t="str">
        <f t="shared" si="6"/>
        <v>RES1.2.Piers</v>
      </c>
      <c r="AM75">
        <f t="shared" ref="AM75:AM100" si="23">VLOOKUP(AL75,DDFID,2,0)</f>
        <v>29</v>
      </c>
      <c r="AN75">
        <f t="shared" si="7"/>
        <v>-5.3358594628000002</v>
      </c>
      <c r="AO75">
        <f t="shared" ref="AO75:AO100" si="24">MATCH(AN75,DDF,1)</f>
        <v>4</v>
      </c>
      <c r="AP75">
        <f ca="1">OFFSET(Coastal_DDF!$F$10,0,AO75,1,1)</f>
        <v>-6</v>
      </c>
      <c r="AQ75">
        <f ca="1">OFFSET(Coastal_DDF!$F$10,0,AO75+1,1,1)</f>
        <v>-5</v>
      </c>
      <c r="AR75">
        <f ca="1">OFFSET(Coastal_DDF!$F$10,AM75,AO75,1,1)</f>
        <v>0</v>
      </c>
      <c r="AS75">
        <f ca="1">OFFSET(Coastal_DDF!$F$10,AM75,AO75+1,1,1)</f>
        <v>0</v>
      </c>
      <c r="AT75">
        <f t="shared" ca="1" si="8"/>
        <v>0</v>
      </c>
      <c r="AU75">
        <f t="shared" ca="1" si="9"/>
        <v>0</v>
      </c>
      <c r="AV75">
        <f t="shared" ca="1" si="10"/>
        <v>0</v>
      </c>
      <c r="AW75">
        <f t="shared" ref="AW75:AW100" ca="1" si="25">IF(AN75=-99,0,AV75*VLOOKUP(V75,CCI,2,FALSE))</f>
        <v>0</v>
      </c>
      <c r="AX75">
        <f t="shared" si="11"/>
        <v>-6.0248358627999998</v>
      </c>
      <c r="AY75">
        <f t="shared" ref="AY75:AY100" si="26">MATCH(AX75,DDF,1)</f>
        <v>3</v>
      </c>
      <c r="AZ75">
        <f ca="1">OFFSET(Coastal_DDF!$F$10,0,AY75,1,1)</f>
        <v>-7</v>
      </c>
      <c r="BA75">
        <f ca="1">OFFSET(Coastal_DDF!$F$10,0,AY75+1,1,1)</f>
        <v>-6</v>
      </c>
      <c r="BB75">
        <f ca="1">OFFSET(Coastal_DDF!$F$10,AM75,AY75,1,1)</f>
        <v>0</v>
      </c>
      <c r="BC75">
        <f ca="1">OFFSET(Coastal_DDF!$F$10,AM75,AY75+1,1,1)</f>
        <v>0</v>
      </c>
      <c r="BD75">
        <f t="shared" ca="1" si="12"/>
        <v>0</v>
      </c>
      <c r="BE75">
        <f t="shared" ca="1" si="13"/>
        <v>0</v>
      </c>
      <c r="BF75">
        <f t="shared" ca="1" si="14"/>
        <v>0</v>
      </c>
      <c r="BG75">
        <f t="shared" ref="BG75:BG100" ca="1" si="27">IF(AX75=-99,0,BF75*VLOOKUP(V75,CCI,2,FALSE))</f>
        <v>0</v>
      </c>
    </row>
    <row r="76" spans="1:59" x14ac:dyDescent="0.25">
      <c r="A76">
        <f>Inputs!A76</f>
        <v>2</v>
      </c>
      <c r="B76" t="str">
        <f>Inputs!B76</f>
        <v>NFWF-44109</v>
      </c>
      <c r="C76">
        <f>Inputs!C76</f>
        <v>1</v>
      </c>
      <c r="D76" t="str">
        <f>Inputs!D76</f>
        <v>NJ_NFWF_44109_1_0007</v>
      </c>
      <c r="E76">
        <f>Inputs!E76</f>
        <v>8</v>
      </c>
      <c r="F76">
        <f>Inputs!F76</f>
        <v>0</v>
      </c>
      <c r="G76">
        <f>Inputs!G76</f>
        <v>112.582832</v>
      </c>
      <c r="H76">
        <f>Inputs!H76</f>
        <v>1.1331979999999999</v>
      </c>
      <c r="I76">
        <f>Inputs!I76</f>
        <v>1.0931979999999999</v>
      </c>
      <c r="J76">
        <f>Inputs!J76</f>
        <v>0.04</v>
      </c>
      <c r="K76">
        <f>Inputs!K76</f>
        <v>4.9000000000000004</v>
      </c>
      <c r="L76" t="str">
        <f>Inputs!L76</f>
        <v>C</v>
      </c>
      <c r="M76">
        <f>Inputs!M76</f>
        <v>0</v>
      </c>
      <c r="N76">
        <f>Inputs!N76</f>
        <v>3.7178413263199999</v>
      </c>
      <c r="O76">
        <f>Inputs!O76</f>
        <v>3.5866077263199996</v>
      </c>
      <c r="P76">
        <f>Inputs!P76</f>
        <v>0.13123360000000001</v>
      </c>
      <c r="Q76">
        <f>Inputs!Q76</f>
        <v>1211.8303453648</v>
      </c>
      <c r="R76" t="str">
        <f>Inputs!R76</f>
        <v>County Tax Assessor</v>
      </c>
      <c r="S76" t="str">
        <f>Inputs!S76</f>
        <v>326.204; 41</v>
      </c>
      <c r="T76">
        <f>Inputs!T76</f>
        <v>0</v>
      </c>
      <c r="U76">
        <f>Inputs!U76</f>
        <v>0</v>
      </c>
      <c r="V76">
        <f>IF(Inputs!V76=0,2020,Inputs!V76)</f>
        <v>2020</v>
      </c>
      <c r="W76">
        <f>Inputs!W76</f>
        <v>1962</v>
      </c>
      <c r="X76" t="s">
        <v>238</v>
      </c>
      <c r="Y76" t="str">
        <f>Inputs!Y76</f>
        <v>No</v>
      </c>
      <c r="Z76">
        <f>Inputs!Z76</f>
        <v>0</v>
      </c>
      <c r="AA76">
        <f>Inputs!AA76</f>
        <v>0</v>
      </c>
      <c r="AB76">
        <f>IF(Z76="Piers",MIN(2,Inputs!AB76),Inputs!AB76)</f>
        <v>0</v>
      </c>
      <c r="AC76">
        <f>Inputs!AC76</f>
        <v>0</v>
      </c>
      <c r="AD76">
        <f>Inputs!AD76</f>
        <v>0</v>
      </c>
      <c r="AE76">
        <f>Inputs!AE76</f>
        <v>2006</v>
      </c>
      <c r="AF76">
        <f>Inputs!AF76</f>
        <v>0</v>
      </c>
      <c r="AG76">
        <f>Inputs!AG76</f>
        <v>0</v>
      </c>
      <c r="AH76" t="str">
        <f>Inputs!AH76</f>
        <v>http://www.tax.co.ocean.nj.us/frmTaxBoardTaxListDetail?ID=99513</v>
      </c>
      <c r="AI76" t="str">
        <f>Inputs!AI76</f>
        <v>vacant property</v>
      </c>
      <c r="AJ76" t="str">
        <f>Inputs!AJ76</f>
        <v>26 Iowa Ct Little Egg Harbor Township, New Jersey</v>
      </c>
      <c r="AK76" t="str">
        <f t="shared" si="22"/>
        <v>Unknown</v>
      </c>
      <c r="AL76" t="str">
        <f t="shared" ref="AL76:AL100" si="28">IF(AK76="Res",X76&amp;"."&amp;AB76&amp;"."&amp;Z76,X76)</f>
        <v>UNK</v>
      </c>
      <c r="AM76">
        <f t="shared" si="23"/>
        <v>30</v>
      </c>
      <c r="AN76">
        <f t="shared" ref="AN76:AN100" si="29">IF(N76&lt;0,-99,N76-AC76)</f>
        <v>3.7178413263199999</v>
      </c>
      <c r="AO76">
        <f t="shared" si="24"/>
        <v>15</v>
      </c>
      <c r="AP76">
        <f ca="1">OFFSET(Coastal_DDF!$F$10,0,AO76,1,1)</f>
        <v>3</v>
      </c>
      <c r="AQ76">
        <f ca="1">OFFSET(Coastal_DDF!$F$10,0,AO76+1,1,1)</f>
        <v>4</v>
      </c>
      <c r="AR76">
        <f ca="1">OFFSET(Coastal_DDF!$F$10,AM76,AO76,1,1)</f>
        <v>20</v>
      </c>
      <c r="AS76">
        <f ca="1">OFFSET(Coastal_DDF!$F$10,AM76,AO76+1,1,1)</f>
        <v>26</v>
      </c>
      <c r="AT76">
        <f t="shared" ref="AT76:AT100" ca="1" si="30">(AS76-AR76)/(AQ76-AP76)</f>
        <v>6</v>
      </c>
      <c r="AU76">
        <f t="shared" ref="AU76:AU100" ca="1" si="31">AR76+(AN76-AP76)*AT76</f>
        <v>24.307047957919998</v>
      </c>
      <c r="AV76">
        <f t="shared" ref="AV76:AV100" ca="1" si="32">(AU76/100)*U76</f>
        <v>0</v>
      </c>
      <c r="AW76">
        <f t="shared" ca="1" si="25"/>
        <v>0</v>
      </c>
      <c r="AX76">
        <f t="shared" ref="AX76:AX100" si="33">IF(O76&lt;0,-99,O76-AC76)</f>
        <v>3.5866077263199996</v>
      </c>
      <c r="AY76">
        <f t="shared" si="26"/>
        <v>15</v>
      </c>
      <c r="AZ76">
        <f ca="1">OFFSET(Coastal_DDF!$F$10,0,AY76,1,1)</f>
        <v>3</v>
      </c>
      <c r="BA76">
        <f ca="1">OFFSET(Coastal_DDF!$F$10,0,AY76+1,1,1)</f>
        <v>4</v>
      </c>
      <c r="BB76">
        <f ca="1">OFFSET(Coastal_DDF!$F$10,AM76,AY76,1,1)</f>
        <v>20</v>
      </c>
      <c r="BC76">
        <f ca="1">OFFSET(Coastal_DDF!$F$10,AM76,AY76+1,1,1)</f>
        <v>26</v>
      </c>
      <c r="BD76">
        <f t="shared" ref="BD76:BD100" ca="1" si="34">(BC76-BB76)/(BA76-AZ76)</f>
        <v>6</v>
      </c>
      <c r="BE76">
        <f t="shared" ref="BE76:BE100" ca="1" si="35">BB76+(AX76-AZ76)*BD76</f>
        <v>23.519646357919996</v>
      </c>
      <c r="BF76">
        <f t="shared" ref="BF76:BF100" ca="1" si="36">(BE76/100)*U76</f>
        <v>0</v>
      </c>
      <c r="BG76">
        <f t="shared" ca="1" si="27"/>
        <v>0</v>
      </c>
    </row>
    <row r="77" spans="1:59" x14ac:dyDescent="0.25">
      <c r="A77">
        <f>Inputs!A77</f>
        <v>2</v>
      </c>
      <c r="B77" t="str">
        <f>Inputs!B77</f>
        <v>NFWF-44109</v>
      </c>
      <c r="C77">
        <f>Inputs!C77</f>
        <v>1</v>
      </c>
      <c r="D77" t="str">
        <f>Inputs!D77</f>
        <v>NJ_NFWF_44109_1_0008</v>
      </c>
      <c r="E77">
        <f>Inputs!E77</f>
        <v>8</v>
      </c>
      <c r="F77">
        <f>Inputs!F77</f>
        <v>0</v>
      </c>
      <c r="G77">
        <f>Inputs!G77</f>
        <v>190.41475</v>
      </c>
      <c r="H77">
        <f>Inputs!H77</f>
        <v>0.87833399999999995</v>
      </c>
      <c r="I77">
        <f>Inputs!I77</f>
        <v>0.67833399999999999</v>
      </c>
      <c r="J77">
        <f>Inputs!J77</f>
        <v>0.2</v>
      </c>
      <c r="K77">
        <f>Inputs!K77</f>
        <v>4.9000000000000004</v>
      </c>
      <c r="L77" t="str">
        <f>Inputs!L77</f>
        <v>C</v>
      </c>
      <c r="M77">
        <f>Inputs!M77</f>
        <v>0</v>
      </c>
      <c r="N77">
        <f>Inputs!N77</f>
        <v>2.88167332056</v>
      </c>
      <c r="O77">
        <f>Inputs!O77</f>
        <v>2.2255053205599999</v>
      </c>
      <c r="P77">
        <f>Inputs!P77</f>
        <v>0.65616800000000008</v>
      </c>
      <c r="Q77">
        <f>Inputs!Q77</f>
        <v>2049.6053275250001</v>
      </c>
      <c r="R77" t="str">
        <f>Inputs!R77</f>
        <v>County Tax Assessor</v>
      </c>
      <c r="S77" t="str">
        <f>Inputs!S77</f>
        <v xml:space="preserve"> 326.204; 47</v>
      </c>
      <c r="T77">
        <f>Inputs!T77</f>
        <v>199400</v>
      </c>
      <c r="U77">
        <f>Inputs!U77</f>
        <v>216699.6</v>
      </c>
      <c r="V77">
        <f>IF(Inputs!V77=0,2020,Inputs!V77)</f>
        <v>2020</v>
      </c>
      <c r="W77">
        <f>Inputs!W77</f>
        <v>1976</v>
      </c>
      <c r="X77" t="str">
        <f>IF(Inputs!X77=0,"UNK",Inputs!X77)</f>
        <v>RES1</v>
      </c>
      <c r="Y77" t="str">
        <f>Inputs!Y77</f>
        <v>No</v>
      </c>
      <c r="Z77" t="str">
        <f>Inputs!Z77</f>
        <v>Slab</v>
      </c>
      <c r="AA77">
        <f>Inputs!AA77</f>
        <v>2264</v>
      </c>
      <c r="AB77">
        <f>IF(Z77="Piers",MIN(2,Inputs!AB77),Inputs!AB77)</f>
        <v>2</v>
      </c>
      <c r="AC77">
        <f>Inputs!AC77</f>
        <v>1</v>
      </c>
      <c r="AD77">
        <f>Inputs!AD77</f>
        <v>90.15</v>
      </c>
      <c r="AE77">
        <f>Inputs!AE77</f>
        <v>2006</v>
      </c>
      <c r="AF77" t="str">
        <f>Inputs!AF77</f>
        <v>added single garage value</v>
      </c>
      <c r="AG77">
        <f>Inputs!AG77</f>
        <v>0</v>
      </c>
      <c r="AH77" t="str">
        <f>Inputs!AH77</f>
        <v>http://www.tax.co.ocean.nj.us/frmTaxBoardTaxListDetail?ID=99519</v>
      </c>
      <c r="AI77" t="str">
        <f>Inputs!AI77</f>
        <v>attached one car garage</v>
      </c>
      <c r="AJ77" t="str">
        <f>Inputs!AJ77</f>
        <v>38 Iowa Ct Little Egg Harbor Township, New Jersey</v>
      </c>
      <c r="AK77" t="str">
        <f t="shared" si="22"/>
        <v>Res</v>
      </c>
      <c r="AL77" t="str">
        <f t="shared" si="28"/>
        <v>RES1.2.Slab</v>
      </c>
      <c r="AM77">
        <f t="shared" si="23"/>
        <v>2</v>
      </c>
      <c r="AN77">
        <f t="shared" si="29"/>
        <v>1.88167332056</v>
      </c>
      <c r="AO77">
        <f t="shared" si="24"/>
        <v>13</v>
      </c>
      <c r="AP77">
        <f ca="1">OFFSET(Coastal_DDF!$F$10,0,AO77,1,1)</f>
        <v>1</v>
      </c>
      <c r="AQ77">
        <f ca="1">OFFSET(Coastal_DDF!$F$10,0,AO77+1,1,1)</f>
        <v>2</v>
      </c>
      <c r="AR77">
        <f ca="1">OFFSET(Coastal_DDF!$F$10,AM77,AO77,1,1)</f>
        <v>15</v>
      </c>
      <c r="AS77">
        <f ca="1">OFFSET(Coastal_DDF!$F$10,AM77,AO77+1,1,1)</f>
        <v>20</v>
      </c>
      <c r="AT77">
        <f t="shared" ca="1" si="30"/>
        <v>5</v>
      </c>
      <c r="AU77">
        <f t="shared" ca="1" si="31"/>
        <v>19.408366602800001</v>
      </c>
      <c r="AV77">
        <f t="shared" ca="1" si="32"/>
        <v>42057.852794801191</v>
      </c>
      <c r="AW77">
        <f t="shared" ca="1" si="25"/>
        <v>42057.852794801191</v>
      </c>
      <c r="AX77">
        <f t="shared" si="33"/>
        <v>1.2255053205599999</v>
      </c>
      <c r="AY77">
        <f t="shared" si="26"/>
        <v>13</v>
      </c>
      <c r="AZ77">
        <f ca="1">OFFSET(Coastal_DDF!$F$10,0,AY77,1,1)</f>
        <v>1</v>
      </c>
      <c r="BA77">
        <f ca="1">OFFSET(Coastal_DDF!$F$10,0,AY77+1,1,1)</f>
        <v>2</v>
      </c>
      <c r="BB77">
        <f ca="1">OFFSET(Coastal_DDF!$F$10,AM77,AY77,1,1)</f>
        <v>15</v>
      </c>
      <c r="BC77">
        <f ca="1">OFFSET(Coastal_DDF!$F$10,AM77,AY77+1,1,1)</f>
        <v>20</v>
      </c>
      <c r="BD77">
        <f t="shared" ca="1" si="34"/>
        <v>5</v>
      </c>
      <c r="BE77">
        <f t="shared" ca="1" si="35"/>
        <v>16.1275266028</v>
      </c>
      <c r="BF77">
        <f t="shared" ca="1" si="36"/>
        <v>34948.285638161185</v>
      </c>
      <c r="BG77">
        <f t="shared" ca="1" si="27"/>
        <v>34948.285638161185</v>
      </c>
    </row>
    <row r="78" spans="1:59" x14ac:dyDescent="0.25">
      <c r="A78">
        <f>Inputs!A78</f>
        <v>2</v>
      </c>
      <c r="B78" t="str">
        <f>Inputs!B78</f>
        <v>NFWF-44109</v>
      </c>
      <c r="C78">
        <f>Inputs!C78</f>
        <v>1</v>
      </c>
      <c r="D78" t="str">
        <f>Inputs!D78</f>
        <v>NJ_NFWF_44109_1_0009</v>
      </c>
      <c r="E78">
        <f>Inputs!E78</f>
        <v>8</v>
      </c>
      <c r="F78">
        <f>Inputs!F78</f>
        <v>0</v>
      </c>
      <c r="G78">
        <f>Inputs!G78</f>
        <v>136.45407399999999</v>
      </c>
      <c r="H78">
        <f>Inputs!H78</f>
        <v>1.0384469999999999</v>
      </c>
      <c r="I78">
        <f>Inputs!I78</f>
        <v>0.81844700000000004</v>
      </c>
      <c r="J78">
        <f>Inputs!J78</f>
        <v>0.22</v>
      </c>
      <c r="K78">
        <f>Inputs!K78</f>
        <v>4.9000000000000004</v>
      </c>
      <c r="L78" t="str">
        <f>Inputs!L78</f>
        <v>C</v>
      </c>
      <c r="M78">
        <f>Inputs!M78</f>
        <v>0</v>
      </c>
      <c r="N78">
        <f>Inputs!N78</f>
        <v>3.4069784554799996</v>
      </c>
      <c r="O78">
        <f>Inputs!O78</f>
        <v>2.68519365548</v>
      </c>
      <c r="P78">
        <f>Inputs!P78</f>
        <v>0.7217848</v>
      </c>
      <c r="Q78">
        <f>Inputs!Q78</f>
        <v>1468.7780071285999</v>
      </c>
      <c r="R78" t="str">
        <f>Inputs!R78</f>
        <v>County Tax Assessor</v>
      </c>
      <c r="S78" t="str">
        <f>Inputs!S78</f>
        <v>326.204; 45</v>
      </c>
      <c r="T78">
        <f>Inputs!T78</f>
        <v>230100</v>
      </c>
      <c r="U78">
        <f>Inputs!U78</f>
        <v>167207.25</v>
      </c>
      <c r="V78">
        <f>IF(Inputs!V78=0,2020,Inputs!V78)</f>
        <v>2020</v>
      </c>
      <c r="W78">
        <f>Inputs!W78</f>
        <v>2016</v>
      </c>
      <c r="X78" t="str">
        <f>IF(Inputs!X78=0,"UNK",Inputs!X78)</f>
        <v>RES1</v>
      </c>
      <c r="Y78" t="str">
        <f>Inputs!Y78</f>
        <v>No</v>
      </c>
      <c r="Z78" t="str">
        <f>Inputs!Z78</f>
        <v>Piers</v>
      </c>
      <c r="AA78">
        <f>Inputs!AA78</f>
        <v>1715</v>
      </c>
      <c r="AB78">
        <f>IF(Z78="Piers",MIN(2,Inputs!AB78),Inputs!AB78)</f>
        <v>2</v>
      </c>
      <c r="AC78">
        <f>Inputs!AC78</f>
        <v>9</v>
      </c>
      <c r="AD78">
        <f>Inputs!AD78</f>
        <v>90.15</v>
      </c>
      <c r="AE78">
        <f>Inputs!AE78</f>
        <v>2006</v>
      </c>
      <c r="AF78" t="str">
        <f>Inputs!AF78</f>
        <v>added single garage value</v>
      </c>
      <c r="AG78">
        <f>Inputs!AG78</f>
        <v>0</v>
      </c>
      <c r="AH78" t="str">
        <f>Inputs!AH78</f>
        <v>http://www.tax.co.ocean.nj.us/frmTaxBoardTaxListDetail?ID=99517</v>
      </c>
      <c r="AI78" t="str">
        <f>Inputs!AI78</f>
        <v>Empty lot in most recent google earth image street view but home shows up in zillow listing for property next door: https://www.zillow.com/homedetails/32-Iowa-Ct-Little-Egg-Harbor-Twp-NJ-08087/39654908_zpid/?</v>
      </c>
      <c r="AJ78" t="str">
        <f>Inputs!AJ78</f>
        <v>34 Iowa Ct Little Egg Harbor Township, New Jersey</v>
      </c>
      <c r="AK78" t="str">
        <f t="shared" si="22"/>
        <v>Res</v>
      </c>
      <c r="AL78" t="str">
        <f t="shared" si="28"/>
        <v>RES1.2.Piers</v>
      </c>
      <c r="AM78">
        <f t="shared" si="23"/>
        <v>29</v>
      </c>
      <c r="AN78">
        <f t="shared" si="29"/>
        <v>-5.5930215445200009</v>
      </c>
      <c r="AO78">
        <f t="shared" si="24"/>
        <v>4</v>
      </c>
      <c r="AP78">
        <f ca="1">OFFSET(Coastal_DDF!$F$10,0,AO78,1,1)</f>
        <v>-6</v>
      </c>
      <c r="AQ78">
        <f ca="1">OFFSET(Coastal_DDF!$F$10,0,AO78+1,1,1)</f>
        <v>-5</v>
      </c>
      <c r="AR78">
        <f ca="1">OFFSET(Coastal_DDF!$F$10,AM78,AO78,1,1)</f>
        <v>0</v>
      </c>
      <c r="AS78">
        <f ca="1">OFFSET(Coastal_DDF!$F$10,AM78,AO78+1,1,1)</f>
        <v>0</v>
      </c>
      <c r="AT78">
        <f t="shared" ca="1" si="30"/>
        <v>0</v>
      </c>
      <c r="AU78">
        <f t="shared" ca="1" si="31"/>
        <v>0</v>
      </c>
      <c r="AV78">
        <f t="shared" ca="1" si="32"/>
        <v>0</v>
      </c>
      <c r="AW78">
        <f t="shared" ca="1" si="25"/>
        <v>0</v>
      </c>
      <c r="AX78">
        <f t="shared" si="33"/>
        <v>-6.31480634452</v>
      </c>
      <c r="AY78">
        <f t="shared" si="26"/>
        <v>3</v>
      </c>
      <c r="AZ78">
        <f ca="1">OFFSET(Coastal_DDF!$F$10,0,AY78,1,1)</f>
        <v>-7</v>
      </c>
      <c r="BA78">
        <f ca="1">OFFSET(Coastal_DDF!$F$10,0,AY78+1,1,1)</f>
        <v>-6</v>
      </c>
      <c r="BB78">
        <f ca="1">OFFSET(Coastal_DDF!$F$10,AM78,AY78,1,1)</f>
        <v>0</v>
      </c>
      <c r="BC78">
        <f ca="1">OFFSET(Coastal_DDF!$F$10,AM78,AY78+1,1,1)</f>
        <v>0</v>
      </c>
      <c r="BD78">
        <f t="shared" ca="1" si="34"/>
        <v>0</v>
      </c>
      <c r="BE78">
        <f t="shared" ca="1" si="35"/>
        <v>0</v>
      </c>
      <c r="BF78">
        <f t="shared" ca="1" si="36"/>
        <v>0</v>
      </c>
      <c r="BG78">
        <f t="shared" ca="1" si="27"/>
        <v>0</v>
      </c>
    </row>
    <row r="79" spans="1:59" x14ac:dyDescent="0.25">
      <c r="A79">
        <f>Inputs!A79</f>
        <v>20</v>
      </c>
      <c r="B79" t="str">
        <f>Inputs!B79</f>
        <v>NFWF-44109</v>
      </c>
      <c r="C79">
        <f>Inputs!C79</f>
        <v>1</v>
      </c>
      <c r="D79" t="str">
        <f>Inputs!D79</f>
        <v>NJ_NFWF_44109_1_0003</v>
      </c>
      <c r="E79">
        <f>Inputs!E79</f>
        <v>8</v>
      </c>
      <c r="F79">
        <f>Inputs!F79</f>
        <v>0</v>
      </c>
      <c r="G79">
        <f>Inputs!G79</f>
        <v>180.902252</v>
      </c>
      <c r="H79">
        <f>Inputs!H79</f>
        <v>1.9232800000000001</v>
      </c>
      <c r="I79">
        <f>Inputs!I79</f>
        <v>1.9032800000000001</v>
      </c>
      <c r="J79">
        <f>Inputs!J79</f>
        <v>0.02</v>
      </c>
      <c r="K79">
        <f>Inputs!K79</f>
        <v>4.9000000000000004</v>
      </c>
      <c r="L79" t="str">
        <f>Inputs!L79</f>
        <v>C</v>
      </c>
      <c r="M79">
        <f>Inputs!M79</f>
        <v>0</v>
      </c>
      <c r="N79">
        <f>Inputs!N79</f>
        <v>6.3099739552000003</v>
      </c>
      <c r="O79">
        <f>Inputs!O79</f>
        <v>6.2443571552000003</v>
      </c>
      <c r="P79">
        <f>Inputs!P79</f>
        <v>6.5616800000000003E-2</v>
      </c>
      <c r="Q79">
        <f>Inputs!Q79</f>
        <v>1947.2137503028</v>
      </c>
      <c r="R79" t="str">
        <f>Inputs!R79</f>
        <v>County Tax Assessor</v>
      </c>
      <c r="S79" t="str">
        <f>Inputs!S79</f>
        <v xml:space="preserve"> 326.204; 48</v>
      </c>
      <c r="T79">
        <f>Inputs!T79</f>
        <v>111700</v>
      </c>
      <c r="U79">
        <f>Inputs!U79</f>
        <v>211959.52</v>
      </c>
      <c r="V79">
        <f>IF(Inputs!V79=0,2020,Inputs!V79)</f>
        <v>2020</v>
      </c>
      <c r="W79">
        <f>Inputs!W79</f>
        <v>1968</v>
      </c>
      <c r="X79" t="str">
        <f>IF(Inputs!X79=0,"UNK",Inputs!X79)</f>
        <v>RES1</v>
      </c>
      <c r="Y79" t="str">
        <f>Inputs!Y79</f>
        <v>No</v>
      </c>
      <c r="Z79" t="str">
        <f>Inputs!Z79</f>
        <v>Slab</v>
      </c>
      <c r="AA79">
        <f>Inputs!AA79</f>
        <v>2262</v>
      </c>
      <c r="AB79">
        <f>IF(Z79="Piers",MIN(2,Inputs!AB79),Inputs!AB79)</f>
        <v>2</v>
      </c>
      <c r="AC79">
        <f>Inputs!AC79</f>
        <v>1</v>
      </c>
      <c r="AD79">
        <f>Inputs!AD79</f>
        <v>84.96</v>
      </c>
      <c r="AE79">
        <f>Inputs!AE79</f>
        <v>2006</v>
      </c>
      <c r="AF79" t="str">
        <f>Inputs!AF79</f>
        <v>added two garage value</v>
      </c>
      <c r="AG79">
        <f>Inputs!AG79</f>
        <v>0</v>
      </c>
      <c r="AH79" t="str">
        <f>Inputs!AH79</f>
        <v>http://www.tax.co.ocean.nj.us/frmTaxBoardTaxListDetail?ID=99520</v>
      </c>
      <c r="AI79" t="str">
        <f>Inputs!AI79</f>
        <v>Split level with two car garage attached</v>
      </c>
      <c r="AJ79" t="str">
        <f>Inputs!AJ79</f>
        <v>40 Iowa Ct Little Egg Harbor Township, New Jersey</v>
      </c>
      <c r="AK79" t="str">
        <f t="shared" si="22"/>
        <v>Res</v>
      </c>
      <c r="AL79" t="str">
        <f t="shared" si="28"/>
        <v>RES1.2.Slab</v>
      </c>
      <c r="AM79">
        <f t="shared" si="23"/>
        <v>2</v>
      </c>
      <c r="AN79">
        <f t="shared" si="29"/>
        <v>5.3099739552000003</v>
      </c>
      <c r="AO79">
        <f t="shared" si="24"/>
        <v>17</v>
      </c>
      <c r="AP79">
        <f ca="1">OFFSET(Coastal_DDF!$F$10,0,AO79,1,1)</f>
        <v>5</v>
      </c>
      <c r="AQ79">
        <f ca="1">OFFSET(Coastal_DDF!$F$10,0,AO79+1,1,1)</f>
        <v>6</v>
      </c>
      <c r="AR79">
        <f ca="1">OFFSET(Coastal_DDF!$F$10,AM79,AO79,1,1)</f>
        <v>30</v>
      </c>
      <c r="AS79">
        <f ca="1">OFFSET(Coastal_DDF!$F$10,AM79,AO79+1,1,1)</f>
        <v>40</v>
      </c>
      <c r="AT79">
        <f t="shared" ca="1" si="30"/>
        <v>10</v>
      </c>
      <c r="AU79">
        <f t="shared" ca="1" si="31"/>
        <v>33.099739552000003</v>
      </c>
      <c r="AV79">
        <f t="shared" ca="1" si="32"/>
        <v>70158.049075669347</v>
      </c>
      <c r="AW79">
        <f t="shared" ca="1" si="25"/>
        <v>70158.049075669347</v>
      </c>
      <c r="AX79">
        <f t="shared" si="33"/>
        <v>5.2443571552000003</v>
      </c>
      <c r="AY79">
        <f t="shared" si="26"/>
        <v>17</v>
      </c>
      <c r="AZ79">
        <f ca="1">OFFSET(Coastal_DDF!$F$10,0,AY79,1,1)</f>
        <v>5</v>
      </c>
      <c r="BA79">
        <f ca="1">OFFSET(Coastal_DDF!$F$10,0,AY79+1,1,1)</f>
        <v>6</v>
      </c>
      <c r="BB79">
        <f ca="1">OFFSET(Coastal_DDF!$F$10,AM79,AY79,1,1)</f>
        <v>30</v>
      </c>
      <c r="BC79">
        <f ca="1">OFFSET(Coastal_DDF!$F$10,AM79,AY79+1,1,1)</f>
        <v>40</v>
      </c>
      <c r="BD79">
        <f t="shared" ca="1" si="34"/>
        <v>10</v>
      </c>
      <c r="BE79">
        <f t="shared" ca="1" si="35"/>
        <v>32.443571552000002</v>
      </c>
      <c r="BF79">
        <f t="shared" ca="1" si="36"/>
        <v>68767.238532475749</v>
      </c>
      <c r="BG79">
        <f t="shared" ca="1" si="27"/>
        <v>68767.238532475749</v>
      </c>
    </row>
    <row r="80" spans="1:59" x14ac:dyDescent="0.25">
      <c r="A80">
        <f>Inputs!A80</f>
        <v>20</v>
      </c>
      <c r="B80" t="str">
        <f>Inputs!B80</f>
        <v>NFWF-44109</v>
      </c>
      <c r="C80">
        <f>Inputs!C80</f>
        <v>1</v>
      </c>
      <c r="D80" t="str">
        <f>Inputs!D80</f>
        <v>NJ_NFWF_44109_1_0005</v>
      </c>
      <c r="E80">
        <f>Inputs!E80</f>
        <v>8</v>
      </c>
      <c r="F80">
        <f>Inputs!F80</f>
        <v>0</v>
      </c>
      <c r="G80">
        <f>Inputs!G80</f>
        <v>180.62040200000001</v>
      </c>
      <c r="H80">
        <f>Inputs!H80</f>
        <v>2.3571409999999999</v>
      </c>
      <c r="I80">
        <f>Inputs!I80</f>
        <v>2.2971409999999999</v>
      </c>
      <c r="J80">
        <f>Inputs!J80</f>
        <v>0.06</v>
      </c>
      <c r="K80">
        <f>Inputs!K80</f>
        <v>4.9000000000000004</v>
      </c>
      <c r="L80" t="str">
        <f>Inputs!L80</f>
        <v>C</v>
      </c>
      <c r="M80">
        <f>Inputs!M80</f>
        <v>0</v>
      </c>
      <c r="N80">
        <f>Inputs!N80</f>
        <v>7.7334024784399995</v>
      </c>
      <c r="O80">
        <f>Inputs!O80</f>
        <v>7.5365520784399997</v>
      </c>
      <c r="P80">
        <f>Inputs!P80</f>
        <v>0.19685039999999998</v>
      </c>
      <c r="Q80">
        <f>Inputs!Q80</f>
        <v>1944.1799450878</v>
      </c>
      <c r="R80" t="str">
        <f>Inputs!R80</f>
        <v>County Tax Assessor</v>
      </c>
      <c r="S80" t="str">
        <f>Inputs!S80</f>
        <v>326.204; 44</v>
      </c>
      <c r="T80">
        <f>Inputs!T80</f>
        <v>272400</v>
      </c>
      <c r="U80">
        <f>Inputs!U80</f>
        <v>350535.64409933035</v>
      </c>
      <c r="V80">
        <f>IF(Inputs!V80=0,2020,Inputs!V80)</f>
        <v>2020</v>
      </c>
      <c r="W80">
        <f>Inputs!W80</f>
        <v>2019</v>
      </c>
      <c r="X80" t="str">
        <f>IF(Inputs!X80=0,"UNK",Inputs!X80)</f>
        <v>RES1</v>
      </c>
      <c r="Y80" t="str">
        <f>Inputs!Y80</f>
        <v>No</v>
      </c>
      <c r="Z80" t="str">
        <f>Inputs!Z80</f>
        <v>Piers</v>
      </c>
      <c r="AA80">
        <f>Inputs!AA80</f>
        <v>3888.3598901756</v>
      </c>
      <c r="AB80">
        <f>IF(Z80="Piers",MIN(2,Inputs!AB80),Inputs!AB80)</f>
        <v>2</v>
      </c>
      <c r="AC80">
        <f>Inputs!AC80</f>
        <v>9</v>
      </c>
      <c r="AD80">
        <f>Inputs!AD80</f>
        <v>90.15</v>
      </c>
      <c r="AE80">
        <f>Inputs!AE80</f>
        <v>2006</v>
      </c>
      <c r="AF80">
        <f>Inputs!AF80</f>
        <v>0</v>
      </c>
      <c r="AG80">
        <f>Inputs!AG80</f>
        <v>0</v>
      </c>
      <c r="AH80" t="str">
        <f>Inputs!AH80</f>
        <v>http://www.tax.co.ocean.nj.us/frmTaxBoardTaxListDetail?ID=99516</v>
      </c>
      <c r="AI80" t="str">
        <f>Inputs!AI80</f>
        <v>Significant damage in most recent google earth image; sold as an empty lot; county assessor office indicates a building was built in 2019 but no building data is available. Other county data doesn't seem to be updated yet. Assume 2 stories and piers based on other new building in the area</v>
      </c>
      <c r="AJ80" t="str">
        <f>Inputs!AJ80</f>
        <v>32 Iowa Ct Little Egg Harbor Township, New Jersey</v>
      </c>
      <c r="AK80" t="str">
        <f t="shared" si="22"/>
        <v>Res</v>
      </c>
      <c r="AL80" t="str">
        <f t="shared" si="28"/>
        <v>RES1.2.Piers</v>
      </c>
      <c r="AM80">
        <f t="shared" si="23"/>
        <v>29</v>
      </c>
      <c r="AN80">
        <f t="shared" si="29"/>
        <v>-1.2665975215600005</v>
      </c>
      <c r="AO80">
        <f t="shared" si="24"/>
        <v>8</v>
      </c>
      <c r="AP80">
        <f ca="1">OFFSET(Coastal_DDF!$F$10,0,AO80,1,1)</f>
        <v>-2</v>
      </c>
      <c r="AQ80">
        <f ca="1">OFFSET(Coastal_DDF!$F$10,0,AO80+1,1,1)</f>
        <v>-1</v>
      </c>
      <c r="AR80">
        <f ca="1">OFFSET(Coastal_DDF!$F$10,AM80,AO80,1,1)</f>
        <v>3</v>
      </c>
      <c r="AS80">
        <f ca="1">OFFSET(Coastal_DDF!$F$10,AM80,AO80+1,1,1)</f>
        <v>5</v>
      </c>
      <c r="AT80">
        <f t="shared" ca="1" si="30"/>
        <v>2</v>
      </c>
      <c r="AU80">
        <f t="shared" ca="1" si="31"/>
        <v>4.466804956879999</v>
      </c>
      <c r="AV80">
        <f t="shared" ca="1" si="32"/>
        <v>15657.743526260119</v>
      </c>
      <c r="AW80">
        <f t="shared" ca="1" si="25"/>
        <v>15657.743526260119</v>
      </c>
      <c r="AX80">
        <f t="shared" si="33"/>
        <v>-1.4634479215600003</v>
      </c>
      <c r="AY80">
        <f t="shared" si="26"/>
        <v>8</v>
      </c>
      <c r="AZ80">
        <f ca="1">OFFSET(Coastal_DDF!$F$10,0,AY80,1,1)</f>
        <v>-2</v>
      </c>
      <c r="BA80">
        <f ca="1">OFFSET(Coastal_DDF!$F$10,0,AY80+1,1,1)</f>
        <v>-1</v>
      </c>
      <c r="BB80">
        <f ca="1">OFFSET(Coastal_DDF!$F$10,AM80,AY80,1,1)</f>
        <v>3</v>
      </c>
      <c r="BC80">
        <f ca="1">OFFSET(Coastal_DDF!$F$10,AM80,AY80+1,1,1)</f>
        <v>5</v>
      </c>
      <c r="BD80">
        <f t="shared" ca="1" si="34"/>
        <v>2</v>
      </c>
      <c r="BE80">
        <f t="shared" ca="1" si="35"/>
        <v>4.0731041568799995</v>
      </c>
      <c r="BF80">
        <f t="shared" ca="1" si="36"/>
        <v>14277.681891155906</v>
      </c>
      <c r="BG80">
        <f t="shared" ca="1" si="27"/>
        <v>14277.681891155906</v>
      </c>
    </row>
    <row r="81" spans="1:59" x14ac:dyDescent="0.25">
      <c r="A81">
        <f>Inputs!A81</f>
        <v>20</v>
      </c>
      <c r="B81" t="str">
        <f>Inputs!B81</f>
        <v>NFWF-44109</v>
      </c>
      <c r="C81">
        <f>Inputs!C81</f>
        <v>1</v>
      </c>
      <c r="D81" t="str">
        <f>Inputs!D81</f>
        <v>NJ_NFWF_44109_1_0006</v>
      </c>
      <c r="E81">
        <f>Inputs!E81</f>
        <v>8</v>
      </c>
      <c r="F81">
        <f>Inputs!F81</f>
        <v>0</v>
      </c>
      <c r="G81">
        <f>Inputs!G81</f>
        <v>188.050149</v>
      </c>
      <c r="H81">
        <f>Inputs!H81</f>
        <v>2.13883</v>
      </c>
      <c r="I81">
        <f>Inputs!I81</f>
        <v>2.07883</v>
      </c>
      <c r="J81">
        <f>Inputs!J81</f>
        <v>0.06</v>
      </c>
      <c r="K81">
        <f>Inputs!K81</f>
        <v>4.9000000000000004</v>
      </c>
      <c r="L81" t="str">
        <f>Inputs!L81</f>
        <v>C</v>
      </c>
      <c r="M81">
        <f>Inputs!M81</f>
        <v>0</v>
      </c>
      <c r="N81">
        <f>Inputs!N81</f>
        <v>7.0171590172</v>
      </c>
      <c r="O81">
        <f>Inputs!O81</f>
        <v>6.8203086171999994</v>
      </c>
      <c r="P81">
        <f>Inputs!P81</f>
        <v>0.19685039999999998</v>
      </c>
      <c r="Q81">
        <f>Inputs!Q81</f>
        <v>2024.1529988211</v>
      </c>
      <c r="R81" t="str">
        <f>Inputs!R81</f>
        <v>County Tax Assessor</v>
      </c>
      <c r="S81" t="str">
        <f>Inputs!S81</f>
        <v>326.204; 46</v>
      </c>
      <c r="T81">
        <f>Inputs!T81</f>
        <v>195000</v>
      </c>
      <c r="U81">
        <f>Inputs!U81</f>
        <v>206390.5</v>
      </c>
      <c r="V81">
        <f>IF(Inputs!V81=0,2020,Inputs!V81)</f>
        <v>2020</v>
      </c>
      <c r="W81">
        <f>Inputs!W81</f>
        <v>1990</v>
      </c>
      <c r="X81" t="str">
        <f>IF(Inputs!X81=0,"UNK",Inputs!X81)</f>
        <v>RES1</v>
      </c>
      <c r="Y81" t="str">
        <f>Inputs!Y81</f>
        <v>No</v>
      </c>
      <c r="Z81" t="str">
        <f>Inputs!Z81</f>
        <v>Piers</v>
      </c>
      <c r="AA81">
        <f>Inputs!AA81</f>
        <v>2070</v>
      </c>
      <c r="AB81">
        <f>IF(Z81="Piers",MIN(2,Inputs!AB81),Inputs!AB81)</f>
        <v>2</v>
      </c>
      <c r="AC81">
        <f>Inputs!AC81</f>
        <v>9</v>
      </c>
      <c r="AD81">
        <f>Inputs!AD81</f>
        <v>90.15</v>
      </c>
      <c r="AE81">
        <f>Inputs!AE81</f>
        <v>2006</v>
      </c>
      <c r="AF81" t="str">
        <f>Inputs!AF81</f>
        <v>added two garage value</v>
      </c>
      <c r="AG81">
        <f>Inputs!AG81</f>
        <v>0</v>
      </c>
      <c r="AH81" t="str">
        <f>Inputs!AH81</f>
        <v>http://www.tax.co.ocean.nj.us/frmTaxBoardTaxListDetail?ID=99518</v>
      </c>
      <c r="AI81" t="str">
        <f>Inputs!AI81</f>
        <v>two car garage under the piers</v>
      </c>
      <c r="AJ81" t="str">
        <f>Inputs!AJ81</f>
        <v>36 Iowa Ct Little Egg Harbor Township, New Jersey</v>
      </c>
      <c r="AK81" t="str">
        <f t="shared" si="22"/>
        <v>Res</v>
      </c>
      <c r="AL81" t="str">
        <f t="shared" si="28"/>
        <v>RES1.2.Piers</v>
      </c>
      <c r="AM81">
        <f t="shared" si="23"/>
        <v>29</v>
      </c>
      <c r="AN81">
        <f t="shared" si="29"/>
        <v>-1.9828409828</v>
      </c>
      <c r="AO81">
        <f t="shared" si="24"/>
        <v>8</v>
      </c>
      <c r="AP81">
        <f ca="1">OFFSET(Coastal_DDF!$F$10,0,AO81,1,1)</f>
        <v>-2</v>
      </c>
      <c r="AQ81">
        <f ca="1">OFFSET(Coastal_DDF!$F$10,0,AO81+1,1,1)</f>
        <v>-1</v>
      </c>
      <c r="AR81">
        <f ca="1">OFFSET(Coastal_DDF!$F$10,AM81,AO81,1,1)</f>
        <v>3</v>
      </c>
      <c r="AS81">
        <f ca="1">OFFSET(Coastal_DDF!$F$10,AM81,AO81+1,1,1)</f>
        <v>5</v>
      </c>
      <c r="AT81">
        <f t="shared" ca="1" si="30"/>
        <v>2</v>
      </c>
      <c r="AU81">
        <f t="shared" ca="1" si="31"/>
        <v>3.0343180344</v>
      </c>
      <c r="AV81">
        <f t="shared" ca="1" si="32"/>
        <v>6262.544162788332</v>
      </c>
      <c r="AW81">
        <f t="shared" ca="1" si="25"/>
        <v>6262.544162788332</v>
      </c>
      <c r="AX81">
        <f t="shared" si="33"/>
        <v>-2.1796913828000006</v>
      </c>
      <c r="AY81">
        <f t="shared" si="26"/>
        <v>7</v>
      </c>
      <c r="AZ81">
        <f ca="1">OFFSET(Coastal_DDF!$F$10,0,AY81,1,1)</f>
        <v>-3</v>
      </c>
      <c r="BA81">
        <f ca="1">OFFSET(Coastal_DDF!$F$10,0,AY81+1,1,1)</f>
        <v>-2</v>
      </c>
      <c r="BB81">
        <f ca="1">OFFSET(Coastal_DDF!$F$10,AM81,AY81,1,1)</f>
        <v>0</v>
      </c>
      <c r="BC81">
        <f ca="1">OFFSET(Coastal_DDF!$F$10,AM81,AY81+1,1,1)</f>
        <v>3</v>
      </c>
      <c r="BD81">
        <f t="shared" ca="1" si="34"/>
        <v>3</v>
      </c>
      <c r="BE81">
        <f t="shared" ca="1" si="35"/>
        <v>2.4609258515999981</v>
      </c>
      <c r="BF81">
        <f t="shared" ca="1" si="36"/>
        <v>5079.1171697464943</v>
      </c>
      <c r="BG81">
        <f t="shared" ca="1" si="27"/>
        <v>5079.1171697464943</v>
      </c>
    </row>
    <row r="82" spans="1:59" x14ac:dyDescent="0.25">
      <c r="A82">
        <f>Inputs!A82</f>
        <v>20</v>
      </c>
      <c r="B82" t="str">
        <f>Inputs!B82</f>
        <v>NFWF-44109</v>
      </c>
      <c r="C82">
        <f>Inputs!C82</f>
        <v>1</v>
      </c>
      <c r="D82" t="str">
        <f>Inputs!D82</f>
        <v>NJ_NFWF_44109_1_0008</v>
      </c>
      <c r="E82">
        <f>Inputs!E82</f>
        <v>8</v>
      </c>
      <c r="F82">
        <f>Inputs!F82</f>
        <v>0</v>
      </c>
      <c r="G82">
        <f>Inputs!G82</f>
        <v>190.41475</v>
      </c>
      <c r="H82">
        <f>Inputs!H82</f>
        <v>1.900334</v>
      </c>
      <c r="I82">
        <f>Inputs!I82</f>
        <v>1.8403350000000001</v>
      </c>
      <c r="J82">
        <f>Inputs!J82</f>
        <v>0.06</v>
      </c>
      <c r="K82">
        <f>Inputs!K82</f>
        <v>4.9000000000000004</v>
      </c>
      <c r="L82" t="str">
        <f>Inputs!L82</f>
        <v>C</v>
      </c>
      <c r="M82">
        <f>Inputs!M82</f>
        <v>0</v>
      </c>
      <c r="N82">
        <f>Inputs!N82</f>
        <v>6.2346918005600003</v>
      </c>
      <c r="O82">
        <f>Inputs!O82</f>
        <v>6.0378446814000002</v>
      </c>
      <c r="P82">
        <f>Inputs!P82</f>
        <v>0.19685039999999998</v>
      </c>
      <c r="Q82">
        <f>Inputs!Q82</f>
        <v>2049.6053275250001</v>
      </c>
      <c r="R82" t="str">
        <f>Inputs!R82</f>
        <v>County Tax Assessor</v>
      </c>
      <c r="S82" t="str">
        <f>Inputs!S82</f>
        <v xml:space="preserve"> 326.204; 47</v>
      </c>
      <c r="T82">
        <f>Inputs!T82</f>
        <v>199400</v>
      </c>
      <c r="U82">
        <f>Inputs!U82</f>
        <v>216699.6</v>
      </c>
      <c r="V82">
        <f>IF(Inputs!V82=0,2020,Inputs!V82)</f>
        <v>2020</v>
      </c>
      <c r="W82">
        <f>Inputs!W82</f>
        <v>1976</v>
      </c>
      <c r="X82" t="str">
        <f>IF(Inputs!X82=0,"UNK",Inputs!X82)</f>
        <v>RES1</v>
      </c>
      <c r="Y82" t="str">
        <f>Inputs!Y82</f>
        <v>No</v>
      </c>
      <c r="Z82" t="str">
        <f>Inputs!Z82</f>
        <v>Slab</v>
      </c>
      <c r="AA82">
        <f>Inputs!AA82</f>
        <v>2264</v>
      </c>
      <c r="AB82">
        <f>IF(Z82="Piers",MIN(2,Inputs!AB82),Inputs!AB82)</f>
        <v>2</v>
      </c>
      <c r="AC82">
        <f>Inputs!AC82</f>
        <v>1</v>
      </c>
      <c r="AD82">
        <f>Inputs!AD82</f>
        <v>90.15</v>
      </c>
      <c r="AE82">
        <f>Inputs!AE82</f>
        <v>2006</v>
      </c>
      <c r="AF82" t="str">
        <f>Inputs!AF82</f>
        <v>added single garage value</v>
      </c>
      <c r="AG82">
        <f>Inputs!AG82</f>
        <v>0</v>
      </c>
      <c r="AH82" t="str">
        <f>Inputs!AH82</f>
        <v>http://www.tax.co.ocean.nj.us/frmTaxBoardTaxListDetail?ID=99519</v>
      </c>
      <c r="AI82" t="str">
        <f>Inputs!AI82</f>
        <v>attached one car garage</v>
      </c>
      <c r="AJ82" t="str">
        <f>Inputs!AJ82</f>
        <v>38 Iowa Ct Little Egg Harbor Township, New Jersey</v>
      </c>
      <c r="AK82" t="str">
        <f t="shared" si="22"/>
        <v>Res</v>
      </c>
      <c r="AL82" t="str">
        <f t="shared" si="28"/>
        <v>RES1.2.Slab</v>
      </c>
      <c r="AM82">
        <f t="shared" si="23"/>
        <v>2</v>
      </c>
      <c r="AN82">
        <f t="shared" si="29"/>
        <v>5.2346918005600003</v>
      </c>
      <c r="AO82">
        <f t="shared" si="24"/>
        <v>17</v>
      </c>
      <c r="AP82">
        <f ca="1">OFFSET(Coastal_DDF!$F$10,0,AO82,1,1)</f>
        <v>5</v>
      </c>
      <c r="AQ82">
        <f ca="1">OFFSET(Coastal_DDF!$F$10,0,AO82+1,1,1)</f>
        <v>6</v>
      </c>
      <c r="AR82">
        <f ca="1">OFFSET(Coastal_DDF!$F$10,AM82,AO82,1,1)</f>
        <v>30</v>
      </c>
      <c r="AS82">
        <f ca="1">OFFSET(Coastal_DDF!$F$10,AM82,AO82+1,1,1)</f>
        <v>40</v>
      </c>
      <c r="AT82">
        <f t="shared" ca="1" si="30"/>
        <v>10</v>
      </c>
      <c r="AU82">
        <f t="shared" ca="1" si="31"/>
        <v>32.346918005600003</v>
      </c>
      <c r="AV82">
        <f t="shared" ca="1" si="32"/>
        <v>70095.641930463185</v>
      </c>
      <c r="AW82">
        <f t="shared" ca="1" si="25"/>
        <v>70095.641930463185</v>
      </c>
      <c r="AX82">
        <f t="shared" si="33"/>
        <v>5.0378446814000002</v>
      </c>
      <c r="AY82">
        <f t="shared" si="26"/>
        <v>17</v>
      </c>
      <c r="AZ82">
        <f ca="1">OFFSET(Coastal_DDF!$F$10,0,AY82,1,1)</f>
        <v>5</v>
      </c>
      <c r="BA82">
        <f ca="1">OFFSET(Coastal_DDF!$F$10,0,AY82+1,1,1)</f>
        <v>6</v>
      </c>
      <c r="BB82">
        <f ca="1">OFFSET(Coastal_DDF!$F$10,AM82,AY82,1,1)</f>
        <v>30</v>
      </c>
      <c r="BC82">
        <f ca="1">OFFSET(Coastal_DDF!$F$10,AM82,AY82+1,1,1)</f>
        <v>40</v>
      </c>
      <c r="BD82">
        <f t="shared" ca="1" si="34"/>
        <v>10</v>
      </c>
      <c r="BE82">
        <f t="shared" ca="1" si="35"/>
        <v>30.378446814</v>
      </c>
      <c r="BF82">
        <f t="shared" ca="1" si="36"/>
        <v>65829.972732150738</v>
      </c>
      <c r="BG82">
        <f t="shared" ca="1" si="27"/>
        <v>65829.972732150738</v>
      </c>
    </row>
    <row r="83" spans="1:59" x14ac:dyDescent="0.25">
      <c r="A83">
        <f>Inputs!A83</f>
        <v>20</v>
      </c>
      <c r="B83" t="str">
        <f>Inputs!B83</f>
        <v>NFWF-44109</v>
      </c>
      <c r="C83">
        <f>Inputs!C83</f>
        <v>1</v>
      </c>
      <c r="D83" t="str">
        <f>Inputs!D83</f>
        <v>NJ_NFWF_44109_1_0009</v>
      </c>
      <c r="E83">
        <f>Inputs!E83</f>
        <v>8</v>
      </c>
      <c r="F83">
        <f>Inputs!F83</f>
        <v>0</v>
      </c>
      <c r="G83">
        <f>Inputs!G83</f>
        <v>136.45407399999999</v>
      </c>
      <c r="H83">
        <f>Inputs!H83</f>
        <v>2.0604469999999999</v>
      </c>
      <c r="I83">
        <f>Inputs!I83</f>
        <v>1.9904470000000001</v>
      </c>
      <c r="J83">
        <f>Inputs!J83</f>
        <v>7.0000000000000007E-2</v>
      </c>
      <c r="K83">
        <f>Inputs!K83</f>
        <v>4.9000000000000004</v>
      </c>
      <c r="L83" t="str">
        <f>Inputs!L83</f>
        <v>C</v>
      </c>
      <c r="M83">
        <f>Inputs!M83</f>
        <v>0</v>
      </c>
      <c r="N83">
        <f>Inputs!N83</f>
        <v>6.7599969354799994</v>
      </c>
      <c r="O83">
        <f>Inputs!O83</f>
        <v>6.5303381354800001</v>
      </c>
      <c r="P83">
        <f>Inputs!P83</f>
        <v>0.22965880000000002</v>
      </c>
      <c r="Q83">
        <f>Inputs!Q83</f>
        <v>1468.7780071285999</v>
      </c>
      <c r="R83" t="str">
        <f>Inputs!R83</f>
        <v>County Tax Assessor</v>
      </c>
      <c r="S83" t="str">
        <f>Inputs!S83</f>
        <v>326.204; 45</v>
      </c>
      <c r="T83">
        <f>Inputs!T83</f>
        <v>230100</v>
      </c>
      <c r="U83">
        <f>Inputs!U83</f>
        <v>167207.25</v>
      </c>
      <c r="V83">
        <f>IF(Inputs!V83=0,2020,Inputs!V83)</f>
        <v>2020</v>
      </c>
      <c r="W83">
        <f>Inputs!W83</f>
        <v>2016</v>
      </c>
      <c r="X83" t="str">
        <f>IF(Inputs!X83=0,"UNK",Inputs!X83)</f>
        <v>RES1</v>
      </c>
      <c r="Y83" t="str">
        <f>Inputs!Y83</f>
        <v>No</v>
      </c>
      <c r="Z83" t="str">
        <f>Inputs!Z83</f>
        <v>Piers</v>
      </c>
      <c r="AA83">
        <f>Inputs!AA83</f>
        <v>1715</v>
      </c>
      <c r="AB83">
        <f>IF(Z83="Piers",MIN(2,Inputs!AB83),Inputs!AB83)</f>
        <v>2</v>
      </c>
      <c r="AC83">
        <f>Inputs!AC83</f>
        <v>9</v>
      </c>
      <c r="AD83">
        <f>Inputs!AD83</f>
        <v>90.15</v>
      </c>
      <c r="AE83">
        <f>Inputs!AE83</f>
        <v>2006</v>
      </c>
      <c r="AF83" t="str">
        <f>Inputs!AF83</f>
        <v>added single garage value</v>
      </c>
      <c r="AG83">
        <f>Inputs!AG83</f>
        <v>0</v>
      </c>
      <c r="AH83" t="str">
        <f>Inputs!AH83</f>
        <v>http://www.tax.co.ocean.nj.us/frmTaxBoardTaxListDetail?ID=99517</v>
      </c>
      <c r="AI83" t="str">
        <f>Inputs!AI83</f>
        <v>Empty lot in most recent google earth image street view but home shows up in zillow listing for property next door: https://www.zillow.com/homedetails/32-Iowa-Ct-Little-Egg-Harbor-Twp-NJ-08087/39654908_zpid/?</v>
      </c>
      <c r="AJ83" t="str">
        <f>Inputs!AJ83</f>
        <v>34 Iowa Ct Little Egg Harbor Township, New Jersey</v>
      </c>
      <c r="AK83" t="str">
        <f t="shared" si="22"/>
        <v>Res</v>
      </c>
      <c r="AL83" t="str">
        <f t="shared" si="28"/>
        <v>RES1.2.Piers</v>
      </c>
      <c r="AM83">
        <f t="shared" si="23"/>
        <v>29</v>
      </c>
      <c r="AN83">
        <f t="shared" si="29"/>
        <v>-2.2400030645200006</v>
      </c>
      <c r="AO83">
        <f t="shared" si="24"/>
        <v>7</v>
      </c>
      <c r="AP83">
        <f ca="1">OFFSET(Coastal_DDF!$F$10,0,AO83,1,1)</f>
        <v>-3</v>
      </c>
      <c r="AQ83">
        <f ca="1">OFFSET(Coastal_DDF!$F$10,0,AO83+1,1,1)</f>
        <v>-2</v>
      </c>
      <c r="AR83">
        <f ca="1">OFFSET(Coastal_DDF!$F$10,AM83,AO83,1,1)</f>
        <v>0</v>
      </c>
      <c r="AS83">
        <f ca="1">OFFSET(Coastal_DDF!$F$10,AM83,AO83+1,1,1)</f>
        <v>3</v>
      </c>
      <c r="AT83">
        <f t="shared" ca="1" si="30"/>
        <v>3</v>
      </c>
      <c r="AU83">
        <f t="shared" ca="1" si="31"/>
        <v>2.2799908064399981</v>
      </c>
      <c r="AV83">
        <f t="shared" ca="1" si="32"/>
        <v>3812.3099277011434</v>
      </c>
      <c r="AW83">
        <f t="shared" ca="1" si="25"/>
        <v>3812.3099277011434</v>
      </c>
      <c r="AX83">
        <f t="shared" si="33"/>
        <v>-2.4696618645199999</v>
      </c>
      <c r="AY83">
        <f t="shared" si="26"/>
        <v>7</v>
      </c>
      <c r="AZ83">
        <f ca="1">OFFSET(Coastal_DDF!$F$10,0,AY83,1,1)</f>
        <v>-3</v>
      </c>
      <c r="BA83">
        <f ca="1">OFFSET(Coastal_DDF!$F$10,0,AY83+1,1,1)</f>
        <v>-2</v>
      </c>
      <c r="BB83">
        <f ca="1">OFFSET(Coastal_DDF!$F$10,AM83,AY83,1,1)</f>
        <v>0</v>
      </c>
      <c r="BC83">
        <f ca="1">OFFSET(Coastal_DDF!$F$10,AM83,AY83+1,1,1)</f>
        <v>3</v>
      </c>
      <c r="BD83">
        <f t="shared" ca="1" si="34"/>
        <v>3</v>
      </c>
      <c r="BE83">
        <f t="shared" ca="1" si="35"/>
        <v>1.5910144064400003</v>
      </c>
      <c r="BF83">
        <f t="shared" ca="1" si="36"/>
        <v>2660.2914361121475</v>
      </c>
      <c r="BG83">
        <f t="shared" ca="1" si="27"/>
        <v>2660.2914361121475</v>
      </c>
    </row>
    <row r="84" spans="1:59" x14ac:dyDescent="0.25">
      <c r="A84">
        <f>Inputs!A84</f>
        <v>100</v>
      </c>
      <c r="B84" t="str">
        <f>Inputs!B84</f>
        <v>NFWF-44109</v>
      </c>
      <c r="C84">
        <f>Inputs!C84</f>
        <v>1</v>
      </c>
      <c r="D84" t="str">
        <f>Inputs!D84</f>
        <v>NJ_NFWF_44109_1_0003</v>
      </c>
      <c r="E84">
        <f>Inputs!E84</f>
        <v>8</v>
      </c>
      <c r="F84">
        <f>Inputs!F84</f>
        <v>0</v>
      </c>
      <c r="G84">
        <f>Inputs!G84</f>
        <v>180.902252</v>
      </c>
      <c r="H84">
        <f>Inputs!H84</f>
        <v>2.6572789999999999</v>
      </c>
      <c r="I84">
        <f>Inputs!I84</f>
        <v>2.6472799999999999</v>
      </c>
      <c r="J84">
        <f>Inputs!J84</f>
        <v>0.01</v>
      </c>
      <c r="K84">
        <f>Inputs!K84</f>
        <v>4.9000000000000004</v>
      </c>
      <c r="L84" t="str">
        <f>Inputs!L84</f>
        <v>C</v>
      </c>
      <c r="M84">
        <f>Inputs!M84</f>
        <v>0</v>
      </c>
      <c r="N84">
        <f>Inputs!N84</f>
        <v>8.7181072343599997</v>
      </c>
      <c r="O84">
        <f>Inputs!O84</f>
        <v>8.685302115199999</v>
      </c>
      <c r="P84">
        <f>Inputs!P84</f>
        <v>3.2808400000000001E-2</v>
      </c>
      <c r="Q84">
        <f>Inputs!Q84</f>
        <v>1947.2137503028</v>
      </c>
      <c r="R84" t="str">
        <f>Inputs!R84</f>
        <v>County Tax Assessor</v>
      </c>
      <c r="S84" t="str">
        <f>Inputs!S84</f>
        <v xml:space="preserve"> 326.204; 48</v>
      </c>
      <c r="T84">
        <f>Inputs!T84</f>
        <v>111700</v>
      </c>
      <c r="U84">
        <f>Inputs!U84</f>
        <v>211959.52</v>
      </c>
      <c r="V84">
        <f>IF(Inputs!V84=0,2020,Inputs!V84)</f>
        <v>2020</v>
      </c>
      <c r="W84">
        <f>Inputs!W84</f>
        <v>1968</v>
      </c>
      <c r="X84" t="str">
        <f>IF(Inputs!X84=0,"UNK",Inputs!X84)</f>
        <v>RES1</v>
      </c>
      <c r="Y84" t="str">
        <f>Inputs!Y84</f>
        <v>No</v>
      </c>
      <c r="Z84" t="str">
        <f>Inputs!Z84</f>
        <v>Slab</v>
      </c>
      <c r="AA84">
        <f>Inputs!AA84</f>
        <v>2262</v>
      </c>
      <c r="AB84">
        <f>IF(Z84="Piers",MIN(2,Inputs!AB84),Inputs!AB84)</f>
        <v>2</v>
      </c>
      <c r="AC84">
        <f>Inputs!AC84</f>
        <v>1</v>
      </c>
      <c r="AD84">
        <f>Inputs!AD84</f>
        <v>84.96</v>
      </c>
      <c r="AE84">
        <f>Inputs!AE84</f>
        <v>2006</v>
      </c>
      <c r="AF84" t="str">
        <f>Inputs!AF84</f>
        <v>added two garage value</v>
      </c>
      <c r="AG84">
        <f>Inputs!AG84</f>
        <v>0</v>
      </c>
      <c r="AH84" t="str">
        <f>Inputs!AH84</f>
        <v>http://www.tax.co.ocean.nj.us/frmTaxBoardTaxListDetail?ID=99520</v>
      </c>
      <c r="AI84" t="str">
        <f>Inputs!AI84</f>
        <v>Split level with two car garage attached</v>
      </c>
      <c r="AJ84" t="str">
        <f>Inputs!AJ84</f>
        <v>40 Iowa Ct Little Egg Harbor Township, New Jersey</v>
      </c>
      <c r="AK84" t="str">
        <f t="shared" si="22"/>
        <v>Res</v>
      </c>
      <c r="AL84" t="str">
        <f t="shared" si="28"/>
        <v>RES1.2.Slab</v>
      </c>
      <c r="AM84">
        <f t="shared" si="23"/>
        <v>2</v>
      </c>
      <c r="AN84">
        <f t="shared" si="29"/>
        <v>7.7181072343599997</v>
      </c>
      <c r="AO84">
        <f t="shared" si="24"/>
        <v>19</v>
      </c>
      <c r="AP84">
        <f ca="1">OFFSET(Coastal_DDF!$F$10,0,AO84,1,1)</f>
        <v>7</v>
      </c>
      <c r="AQ84">
        <f ca="1">OFFSET(Coastal_DDF!$F$10,0,AO84+1,1,1)</f>
        <v>8</v>
      </c>
      <c r="AR84">
        <f ca="1">OFFSET(Coastal_DDF!$F$10,AM84,AO84,1,1)</f>
        <v>50</v>
      </c>
      <c r="AS84">
        <f ca="1">OFFSET(Coastal_DDF!$F$10,AM84,AO84+1,1,1)</f>
        <v>53.333333333333336</v>
      </c>
      <c r="AT84">
        <f t="shared" ca="1" si="30"/>
        <v>3.3333333333333357</v>
      </c>
      <c r="AU84">
        <f t="shared" ca="1" si="31"/>
        <v>52.3936907812</v>
      </c>
      <c r="AV84">
        <f t="shared" ca="1" si="32"/>
        <v>111053.41549011576</v>
      </c>
      <c r="AW84">
        <f t="shared" ca="1" si="25"/>
        <v>111053.41549011576</v>
      </c>
      <c r="AX84">
        <f t="shared" si="33"/>
        <v>7.685302115199999</v>
      </c>
      <c r="AY84">
        <f t="shared" si="26"/>
        <v>19</v>
      </c>
      <c r="AZ84">
        <f ca="1">OFFSET(Coastal_DDF!$F$10,0,AY84,1,1)</f>
        <v>7</v>
      </c>
      <c r="BA84">
        <f ca="1">OFFSET(Coastal_DDF!$F$10,0,AY84+1,1,1)</f>
        <v>8</v>
      </c>
      <c r="BB84">
        <f ca="1">OFFSET(Coastal_DDF!$F$10,AM84,AY84,1,1)</f>
        <v>50</v>
      </c>
      <c r="BC84">
        <f ca="1">OFFSET(Coastal_DDF!$F$10,AM84,AY84+1,1,1)</f>
        <v>53.333333333333336</v>
      </c>
      <c r="BD84">
        <f t="shared" ca="1" si="34"/>
        <v>3.3333333333333357</v>
      </c>
      <c r="BE84">
        <f t="shared" ca="1" si="35"/>
        <v>52.284340383999997</v>
      </c>
      <c r="BF84">
        <f t="shared" ca="1" si="36"/>
        <v>110821.63691309255</v>
      </c>
      <c r="BG84">
        <f t="shared" ca="1" si="27"/>
        <v>110821.63691309255</v>
      </c>
    </row>
    <row r="85" spans="1:59" x14ac:dyDescent="0.25">
      <c r="A85">
        <f>Inputs!A85</f>
        <v>100</v>
      </c>
      <c r="B85" t="str">
        <f>Inputs!B85</f>
        <v>NFWF-44109</v>
      </c>
      <c r="C85">
        <f>Inputs!C85</f>
        <v>1</v>
      </c>
      <c r="D85" t="str">
        <f>Inputs!D85</f>
        <v>NJ_NFWF_44109_1_0005</v>
      </c>
      <c r="E85">
        <f>Inputs!E85</f>
        <v>8</v>
      </c>
      <c r="F85">
        <f>Inputs!F85</f>
        <v>0</v>
      </c>
      <c r="G85">
        <f>Inputs!G85</f>
        <v>180.62040200000001</v>
      </c>
      <c r="H85">
        <f>Inputs!H85</f>
        <v>3.0911409999999999</v>
      </c>
      <c r="I85">
        <f>Inputs!I85</f>
        <v>3.0711409999999999</v>
      </c>
      <c r="J85">
        <f>Inputs!J85</f>
        <v>0.02</v>
      </c>
      <c r="K85">
        <f>Inputs!K85</f>
        <v>4.9000000000000004</v>
      </c>
      <c r="L85" t="str">
        <f>Inputs!L85</f>
        <v>C</v>
      </c>
      <c r="M85">
        <f>Inputs!M85</f>
        <v>0</v>
      </c>
      <c r="N85">
        <f>Inputs!N85</f>
        <v>10.141539038439999</v>
      </c>
      <c r="O85">
        <f>Inputs!O85</f>
        <v>10.07592223844</v>
      </c>
      <c r="P85">
        <f>Inputs!P85</f>
        <v>6.5616800000000003E-2</v>
      </c>
      <c r="Q85">
        <f>Inputs!Q85</f>
        <v>1944.1799450878</v>
      </c>
      <c r="R85" t="str">
        <f>Inputs!R85</f>
        <v>County Tax Assessor</v>
      </c>
      <c r="S85" t="str">
        <f>Inputs!S85</f>
        <v>326.204; 44</v>
      </c>
      <c r="T85">
        <f>Inputs!T85</f>
        <v>272400</v>
      </c>
      <c r="U85">
        <f>Inputs!U85</f>
        <v>350535.64409933035</v>
      </c>
      <c r="V85">
        <f>IF(Inputs!V85=0,2020,Inputs!V85)</f>
        <v>2020</v>
      </c>
      <c r="W85">
        <f>Inputs!W85</f>
        <v>2019</v>
      </c>
      <c r="X85" t="str">
        <f>IF(Inputs!X85=0,"UNK",Inputs!X85)</f>
        <v>RES1</v>
      </c>
      <c r="Y85" t="str">
        <f>Inputs!Y85</f>
        <v>No</v>
      </c>
      <c r="Z85" t="str">
        <f>Inputs!Z85</f>
        <v>Piers</v>
      </c>
      <c r="AA85">
        <f>Inputs!AA85</f>
        <v>3888.3598901756</v>
      </c>
      <c r="AB85">
        <f>IF(Z85="Piers",MIN(2,Inputs!AB85),Inputs!AB85)</f>
        <v>2</v>
      </c>
      <c r="AC85">
        <f>Inputs!AC85</f>
        <v>9</v>
      </c>
      <c r="AD85">
        <f>Inputs!AD85</f>
        <v>90.15</v>
      </c>
      <c r="AE85">
        <f>Inputs!AE85</f>
        <v>2006</v>
      </c>
      <c r="AF85">
        <f>Inputs!AF85</f>
        <v>0</v>
      </c>
      <c r="AG85">
        <f>Inputs!AG85</f>
        <v>0</v>
      </c>
      <c r="AH85" t="str">
        <f>Inputs!AH85</f>
        <v>http://www.tax.co.ocean.nj.us/frmTaxBoardTaxListDetail?ID=99516</v>
      </c>
      <c r="AI85" t="str">
        <f>Inputs!AI85</f>
        <v>Significant damage in most recent google earth image; sold as an empty lot; county assessor office indicates a building was built in 2019 but no building data is available. Other county data doesn't seem to be updated yet. Assume 2 stories and piers based on other new building in the area</v>
      </c>
      <c r="AJ85" t="str">
        <f>Inputs!AJ85</f>
        <v>32 Iowa Ct Little Egg Harbor Township, New Jersey</v>
      </c>
      <c r="AK85" t="str">
        <f t="shared" si="22"/>
        <v>Res</v>
      </c>
      <c r="AL85" t="str">
        <f t="shared" si="28"/>
        <v>RES1.2.Piers</v>
      </c>
      <c r="AM85">
        <f t="shared" si="23"/>
        <v>29</v>
      </c>
      <c r="AN85">
        <f t="shared" si="29"/>
        <v>1.1415390384399995</v>
      </c>
      <c r="AO85">
        <f t="shared" si="24"/>
        <v>13</v>
      </c>
      <c r="AP85">
        <f ca="1">OFFSET(Coastal_DDF!$F$10,0,AO85,1,1)</f>
        <v>1</v>
      </c>
      <c r="AQ85">
        <f ca="1">OFFSET(Coastal_DDF!$F$10,0,AO85+1,1,1)</f>
        <v>2</v>
      </c>
      <c r="AR85">
        <f ca="1">OFFSET(Coastal_DDF!$F$10,AM85,AO85,1,1)</f>
        <v>9</v>
      </c>
      <c r="AS85">
        <f ca="1">OFFSET(Coastal_DDF!$F$10,AM85,AO85+1,1,1)</f>
        <v>15</v>
      </c>
      <c r="AT85">
        <f t="shared" ca="1" si="30"/>
        <v>6</v>
      </c>
      <c r="AU85">
        <f t="shared" ca="1" si="31"/>
        <v>9.8492342306399969</v>
      </c>
      <c r="AV85">
        <f t="shared" ca="1" si="32"/>
        <v>34525.076649225637</v>
      </c>
      <c r="AW85">
        <f t="shared" ca="1" si="25"/>
        <v>34525.076649225637</v>
      </c>
      <c r="AX85">
        <f t="shared" si="33"/>
        <v>1.0759222384400005</v>
      </c>
      <c r="AY85">
        <f t="shared" si="26"/>
        <v>13</v>
      </c>
      <c r="AZ85">
        <f ca="1">OFFSET(Coastal_DDF!$F$10,0,AY85,1,1)</f>
        <v>1</v>
      </c>
      <c r="BA85">
        <f ca="1">OFFSET(Coastal_DDF!$F$10,0,AY85+1,1,1)</f>
        <v>2</v>
      </c>
      <c r="BB85">
        <f ca="1">OFFSET(Coastal_DDF!$F$10,AM85,AY85,1,1)</f>
        <v>9</v>
      </c>
      <c r="BC85">
        <f ca="1">OFFSET(Coastal_DDF!$F$10,AM85,AY85+1,1,1)</f>
        <v>15</v>
      </c>
      <c r="BD85">
        <f t="shared" ca="1" si="34"/>
        <v>6</v>
      </c>
      <c r="BE85">
        <f t="shared" ca="1" si="35"/>
        <v>9.4555334306400027</v>
      </c>
      <c r="BF85">
        <f t="shared" ca="1" si="36"/>
        <v>33145.01501412144</v>
      </c>
      <c r="BG85">
        <f t="shared" ca="1" si="27"/>
        <v>33145.01501412144</v>
      </c>
    </row>
    <row r="86" spans="1:59" x14ac:dyDescent="0.25">
      <c r="A86">
        <f>Inputs!A86</f>
        <v>100</v>
      </c>
      <c r="B86" t="str">
        <f>Inputs!B86</f>
        <v>NFWF-44109</v>
      </c>
      <c r="C86">
        <f>Inputs!C86</f>
        <v>1</v>
      </c>
      <c r="D86" t="str">
        <f>Inputs!D86</f>
        <v>NJ_NFWF_44109_1_0006</v>
      </c>
      <c r="E86">
        <f>Inputs!E86</f>
        <v>8</v>
      </c>
      <c r="F86">
        <f>Inputs!F86</f>
        <v>0</v>
      </c>
      <c r="G86">
        <f>Inputs!G86</f>
        <v>188.050149</v>
      </c>
      <c r="H86">
        <f>Inputs!H86</f>
        <v>2.87283</v>
      </c>
      <c r="I86">
        <f>Inputs!I86</f>
        <v>2.85283</v>
      </c>
      <c r="J86">
        <f>Inputs!J86</f>
        <v>0.02</v>
      </c>
      <c r="K86">
        <f>Inputs!K86</f>
        <v>4.9000000000000004</v>
      </c>
      <c r="L86" t="str">
        <f>Inputs!L86</f>
        <v>C</v>
      </c>
      <c r="M86">
        <f>Inputs!M86</f>
        <v>0</v>
      </c>
      <c r="N86">
        <f>Inputs!N86</f>
        <v>9.4252955772</v>
      </c>
      <c r="O86">
        <f>Inputs!O86</f>
        <v>9.3596787771999992</v>
      </c>
      <c r="P86">
        <f>Inputs!P86</f>
        <v>6.5616800000000003E-2</v>
      </c>
      <c r="Q86">
        <f>Inputs!Q86</f>
        <v>2024.1529988211</v>
      </c>
      <c r="R86" t="str">
        <f>Inputs!R86</f>
        <v>County Tax Assessor</v>
      </c>
      <c r="S86" t="str">
        <f>Inputs!S86</f>
        <v>326.204; 46</v>
      </c>
      <c r="T86">
        <f>Inputs!T86</f>
        <v>195000</v>
      </c>
      <c r="U86">
        <f>Inputs!U86</f>
        <v>206390.5</v>
      </c>
      <c r="V86">
        <f>IF(Inputs!V86=0,2020,Inputs!V86)</f>
        <v>2020</v>
      </c>
      <c r="W86">
        <f>Inputs!W86</f>
        <v>1990</v>
      </c>
      <c r="X86" t="str">
        <f>IF(Inputs!X86=0,"UNK",Inputs!X86)</f>
        <v>RES1</v>
      </c>
      <c r="Y86" t="str">
        <f>Inputs!Y86</f>
        <v>No</v>
      </c>
      <c r="Z86" t="str">
        <f>Inputs!Z86</f>
        <v>Piers</v>
      </c>
      <c r="AA86">
        <f>Inputs!AA86</f>
        <v>2070</v>
      </c>
      <c r="AB86">
        <f>IF(Z86="Piers",MIN(2,Inputs!AB86),Inputs!AB86)</f>
        <v>2</v>
      </c>
      <c r="AC86">
        <f>Inputs!AC86</f>
        <v>9</v>
      </c>
      <c r="AD86">
        <f>Inputs!AD86</f>
        <v>90.15</v>
      </c>
      <c r="AE86">
        <f>Inputs!AE86</f>
        <v>2006</v>
      </c>
      <c r="AF86" t="str">
        <f>Inputs!AF86</f>
        <v>added two garage value</v>
      </c>
      <c r="AG86">
        <f>Inputs!AG86</f>
        <v>0</v>
      </c>
      <c r="AH86" t="str">
        <f>Inputs!AH86</f>
        <v>http://www.tax.co.ocean.nj.us/frmTaxBoardTaxListDetail?ID=99518</v>
      </c>
      <c r="AI86" t="str">
        <f>Inputs!AI86</f>
        <v>two car garage under the piers</v>
      </c>
      <c r="AJ86" t="str">
        <f>Inputs!AJ86</f>
        <v>36 Iowa Ct Little Egg Harbor Township, New Jersey</v>
      </c>
      <c r="AK86" t="str">
        <f t="shared" si="22"/>
        <v>Res</v>
      </c>
      <c r="AL86" t="str">
        <f t="shared" si="28"/>
        <v>RES1.2.Piers</v>
      </c>
      <c r="AM86">
        <f t="shared" si="23"/>
        <v>29</v>
      </c>
      <c r="AN86">
        <f t="shared" si="29"/>
        <v>0.4252955772</v>
      </c>
      <c r="AO86">
        <f t="shared" si="24"/>
        <v>11</v>
      </c>
      <c r="AP86">
        <f ca="1">OFFSET(Coastal_DDF!$F$10,0,AO86,1,1)</f>
        <v>0</v>
      </c>
      <c r="AQ86">
        <f ca="1">OFFSET(Coastal_DDF!$F$10,0,AO86+1,1,1)</f>
        <v>0.5</v>
      </c>
      <c r="AR86">
        <f ca="1">OFFSET(Coastal_DDF!$F$10,AM86,AO86,1,1)</f>
        <v>6</v>
      </c>
      <c r="AS86">
        <f ca="1">OFFSET(Coastal_DDF!$F$10,AM86,AO86+1,1,1)</f>
        <v>7.5</v>
      </c>
      <c r="AT86">
        <f t="shared" ca="1" si="30"/>
        <v>3</v>
      </c>
      <c r="AU86">
        <f t="shared" ca="1" si="31"/>
        <v>7.2758867316</v>
      </c>
      <c r="AV86">
        <f t="shared" ca="1" si="32"/>
        <v>15016.739004782898</v>
      </c>
      <c r="AW86">
        <f t="shared" ca="1" si="25"/>
        <v>15016.739004782898</v>
      </c>
      <c r="AX86">
        <f t="shared" si="33"/>
        <v>0.35967877719999919</v>
      </c>
      <c r="AY86">
        <f t="shared" si="26"/>
        <v>11</v>
      </c>
      <c r="AZ86">
        <f ca="1">OFFSET(Coastal_DDF!$F$10,0,AY86,1,1)</f>
        <v>0</v>
      </c>
      <c r="BA86">
        <f ca="1">OFFSET(Coastal_DDF!$F$10,0,AY86+1,1,1)</f>
        <v>0.5</v>
      </c>
      <c r="BB86">
        <f ca="1">OFFSET(Coastal_DDF!$F$10,AM86,AY86,1,1)</f>
        <v>6</v>
      </c>
      <c r="BC86">
        <f ca="1">OFFSET(Coastal_DDF!$F$10,AM86,AY86+1,1,1)</f>
        <v>7.5</v>
      </c>
      <c r="BD86">
        <f t="shared" ca="1" si="34"/>
        <v>3</v>
      </c>
      <c r="BE86">
        <f t="shared" ca="1" si="35"/>
        <v>7.0790363315999976</v>
      </c>
      <c r="BF86">
        <f t="shared" ca="1" si="36"/>
        <v>14610.458479970892</v>
      </c>
      <c r="BG86">
        <f t="shared" ca="1" si="27"/>
        <v>14610.458479970892</v>
      </c>
    </row>
    <row r="87" spans="1:59" x14ac:dyDescent="0.25">
      <c r="A87">
        <f>Inputs!A87</f>
        <v>100</v>
      </c>
      <c r="B87" t="str">
        <f>Inputs!B87</f>
        <v>NFWF-44109</v>
      </c>
      <c r="C87">
        <f>Inputs!C87</f>
        <v>1</v>
      </c>
      <c r="D87" t="str">
        <f>Inputs!D87</f>
        <v>NJ_NFWF_44109_1_0008</v>
      </c>
      <c r="E87">
        <f>Inputs!E87</f>
        <v>8</v>
      </c>
      <c r="F87">
        <f>Inputs!F87</f>
        <v>0</v>
      </c>
      <c r="G87">
        <f>Inputs!G87</f>
        <v>190.41475</v>
      </c>
      <c r="H87">
        <f>Inputs!H87</f>
        <v>2.634334</v>
      </c>
      <c r="I87">
        <f>Inputs!I87</f>
        <v>2.6143339999999999</v>
      </c>
      <c r="J87">
        <f>Inputs!J87</f>
        <v>0.02</v>
      </c>
      <c r="K87">
        <f>Inputs!K87</f>
        <v>4.9000000000000004</v>
      </c>
      <c r="L87" t="str">
        <f>Inputs!L87</f>
        <v>C</v>
      </c>
      <c r="M87">
        <f>Inputs!M87</f>
        <v>0</v>
      </c>
      <c r="N87">
        <f>Inputs!N87</f>
        <v>8.6428283605599994</v>
      </c>
      <c r="O87">
        <f>Inputs!O87</f>
        <v>8.5772115605600003</v>
      </c>
      <c r="P87">
        <f>Inputs!P87</f>
        <v>6.5616800000000003E-2</v>
      </c>
      <c r="Q87">
        <f>Inputs!Q87</f>
        <v>2049.6053275250001</v>
      </c>
      <c r="R87" t="str">
        <f>Inputs!R87</f>
        <v>County Tax Assessor</v>
      </c>
      <c r="S87" t="str">
        <f>Inputs!S87</f>
        <v xml:space="preserve"> 326.204; 47</v>
      </c>
      <c r="T87">
        <f>Inputs!T87</f>
        <v>199400</v>
      </c>
      <c r="U87">
        <f>Inputs!U87</f>
        <v>216699.6</v>
      </c>
      <c r="V87">
        <f>IF(Inputs!V87=0,2020,Inputs!V87)</f>
        <v>2020</v>
      </c>
      <c r="W87">
        <f>Inputs!W87</f>
        <v>1976</v>
      </c>
      <c r="X87" t="str">
        <f>IF(Inputs!X87=0,"UNK",Inputs!X87)</f>
        <v>RES1</v>
      </c>
      <c r="Y87" t="str">
        <f>Inputs!Y87</f>
        <v>No</v>
      </c>
      <c r="Z87" t="str">
        <f>Inputs!Z87</f>
        <v>Slab</v>
      </c>
      <c r="AA87">
        <f>Inputs!AA87</f>
        <v>2264</v>
      </c>
      <c r="AB87">
        <f>IF(Z87="Piers",MIN(2,Inputs!AB87),Inputs!AB87)</f>
        <v>2</v>
      </c>
      <c r="AC87">
        <f>Inputs!AC87</f>
        <v>1</v>
      </c>
      <c r="AD87">
        <f>Inputs!AD87</f>
        <v>90.15</v>
      </c>
      <c r="AE87">
        <f>Inputs!AE87</f>
        <v>2006</v>
      </c>
      <c r="AF87" t="str">
        <f>Inputs!AF87</f>
        <v>added single garage value</v>
      </c>
      <c r="AG87">
        <f>Inputs!AG87</f>
        <v>0</v>
      </c>
      <c r="AH87" t="str">
        <f>Inputs!AH87</f>
        <v>http://www.tax.co.ocean.nj.us/frmTaxBoardTaxListDetail?ID=99519</v>
      </c>
      <c r="AI87" t="str">
        <f>Inputs!AI87</f>
        <v>attached one car garage</v>
      </c>
      <c r="AJ87" t="str">
        <f>Inputs!AJ87</f>
        <v>38 Iowa Ct Little Egg Harbor Township, New Jersey</v>
      </c>
      <c r="AK87" t="str">
        <f t="shared" si="22"/>
        <v>Res</v>
      </c>
      <c r="AL87" t="str">
        <f t="shared" si="28"/>
        <v>RES1.2.Slab</v>
      </c>
      <c r="AM87">
        <f t="shared" si="23"/>
        <v>2</v>
      </c>
      <c r="AN87">
        <f t="shared" si="29"/>
        <v>7.6428283605599994</v>
      </c>
      <c r="AO87">
        <f t="shared" si="24"/>
        <v>19</v>
      </c>
      <c r="AP87">
        <f ca="1">OFFSET(Coastal_DDF!$F$10,0,AO87,1,1)</f>
        <v>7</v>
      </c>
      <c r="AQ87">
        <f ca="1">OFFSET(Coastal_DDF!$F$10,0,AO87+1,1,1)</f>
        <v>8</v>
      </c>
      <c r="AR87">
        <f ca="1">OFFSET(Coastal_DDF!$F$10,AM87,AO87,1,1)</f>
        <v>50</v>
      </c>
      <c r="AS87">
        <f ca="1">OFFSET(Coastal_DDF!$F$10,AM87,AO87+1,1,1)</f>
        <v>53.333333333333336</v>
      </c>
      <c r="AT87">
        <f t="shared" ca="1" si="30"/>
        <v>3.3333333333333357</v>
      </c>
      <c r="AU87">
        <f t="shared" ca="1" si="31"/>
        <v>52.142761201866669</v>
      </c>
      <c r="AV87">
        <f t="shared" ca="1" si="32"/>
        <v>112993.15495340027</v>
      </c>
      <c r="AW87">
        <f t="shared" ca="1" si="25"/>
        <v>112993.15495340027</v>
      </c>
      <c r="AX87">
        <f t="shared" si="33"/>
        <v>7.5772115605600003</v>
      </c>
      <c r="AY87">
        <f t="shared" si="26"/>
        <v>19</v>
      </c>
      <c r="AZ87">
        <f ca="1">OFFSET(Coastal_DDF!$F$10,0,AY87,1,1)</f>
        <v>7</v>
      </c>
      <c r="BA87">
        <f ca="1">OFFSET(Coastal_DDF!$F$10,0,AY87+1,1,1)</f>
        <v>8</v>
      </c>
      <c r="BB87">
        <f ca="1">OFFSET(Coastal_DDF!$F$10,AM87,AY87,1,1)</f>
        <v>50</v>
      </c>
      <c r="BC87">
        <f ca="1">OFFSET(Coastal_DDF!$F$10,AM87,AY87+1,1,1)</f>
        <v>53.333333333333336</v>
      </c>
      <c r="BD87">
        <f t="shared" ca="1" si="34"/>
        <v>3.3333333333333357</v>
      </c>
      <c r="BE87">
        <f t="shared" ca="1" si="35"/>
        <v>51.924038535200005</v>
      </c>
      <c r="BF87">
        <f t="shared" ca="1" si="36"/>
        <v>112519.18380962427</v>
      </c>
      <c r="BG87">
        <f t="shared" ca="1" si="27"/>
        <v>112519.18380962427</v>
      </c>
    </row>
    <row r="88" spans="1:59" x14ac:dyDescent="0.25">
      <c r="A88">
        <f>Inputs!A88</f>
        <v>100</v>
      </c>
      <c r="B88" t="str">
        <f>Inputs!B88</f>
        <v>NFWF-44109</v>
      </c>
      <c r="C88">
        <f>Inputs!C88</f>
        <v>1</v>
      </c>
      <c r="D88" t="str">
        <f>Inputs!D88</f>
        <v>NJ_NFWF_44109_1_0009</v>
      </c>
      <c r="E88">
        <f>Inputs!E88</f>
        <v>8</v>
      </c>
      <c r="F88">
        <f>Inputs!F88</f>
        <v>0</v>
      </c>
      <c r="G88">
        <f>Inputs!G88</f>
        <v>136.45407399999999</v>
      </c>
      <c r="H88">
        <f>Inputs!H88</f>
        <v>2.7944469999999999</v>
      </c>
      <c r="I88">
        <f>Inputs!I88</f>
        <v>2.7744469999999999</v>
      </c>
      <c r="J88">
        <f>Inputs!J88</f>
        <v>0.02</v>
      </c>
      <c r="K88">
        <f>Inputs!K88</f>
        <v>4.9000000000000004</v>
      </c>
      <c r="L88" t="str">
        <f>Inputs!L88</f>
        <v>C</v>
      </c>
      <c r="M88">
        <f>Inputs!M88</f>
        <v>0</v>
      </c>
      <c r="N88">
        <f>Inputs!N88</f>
        <v>9.1681334954799993</v>
      </c>
      <c r="O88">
        <f>Inputs!O88</f>
        <v>9.1025166954800003</v>
      </c>
      <c r="P88">
        <f>Inputs!P88</f>
        <v>6.5616800000000003E-2</v>
      </c>
      <c r="Q88">
        <f>Inputs!Q88</f>
        <v>1468.7780071285999</v>
      </c>
      <c r="R88" t="str">
        <f>Inputs!R88</f>
        <v>County Tax Assessor</v>
      </c>
      <c r="S88" t="str">
        <f>Inputs!S88</f>
        <v>326.204; 45</v>
      </c>
      <c r="T88">
        <f>Inputs!T88</f>
        <v>230100</v>
      </c>
      <c r="U88">
        <f>Inputs!U88</f>
        <v>167207.25</v>
      </c>
      <c r="V88">
        <f>IF(Inputs!V88=0,2020,Inputs!V88)</f>
        <v>2020</v>
      </c>
      <c r="W88">
        <f>Inputs!W88</f>
        <v>2016</v>
      </c>
      <c r="X88" t="str">
        <f>IF(Inputs!X88=0,"UNK",Inputs!X88)</f>
        <v>RES1</v>
      </c>
      <c r="Y88" t="str">
        <f>Inputs!Y88</f>
        <v>No</v>
      </c>
      <c r="Z88" t="str">
        <f>Inputs!Z88</f>
        <v>Piers</v>
      </c>
      <c r="AA88">
        <f>Inputs!AA88</f>
        <v>1715</v>
      </c>
      <c r="AB88">
        <f>IF(Z88="Piers",MIN(2,Inputs!AB88),Inputs!AB88)</f>
        <v>2</v>
      </c>
      <c r="AC88">
        <f>Inputs!AC88</f>
        <v>9</v>
      </c>
      <c r="AD88">
        <f>Inputs!AD88</f>
        <v>90.15</v>
      </c>
      <c r="AE88">
        <f>Inputs!AE88</f>
        <v>2006</v>
      </c>
      <c r="AF88" t="str">
        <f>Inputs!AF88</f>
        <v>added single garage value</v>
      </c>
      <c r="AG88">
        <f>Inputs!AG88</f>
        <v>0</v>
      </c>
      <c r="AH88" t="str">
        <f>Inputs!AH88</f>
        <v>http://www.tax.co.ocean.nj.us/frmTaxBoardTaxListDetail?ID=99517</v>
      </c>
      <c r="AI88" t="str">
        <f>Inputs!AI88</f>
        <v>Empty lot in most recent google earth image street view but home shows up in zillow listing for property next door: https://www.zillow.com/homedetails/32-Iowa-Ct-Little-Egg-Harbor-Twp-NJ-08087/39654908_zpid/?</v>
      </c>
      <c r="AJ88" t="str">
        <f>Inputs!AJ88</f>
        <v>34 Iowa Ct Little Egg Harbor Township, New Jersey</v>
      </c>
      <c r="AK88" t="str">
        <f t="shared" si="22"/>
        <v>Res</v>
      </c>
      <c r="AL88" t="str">
        <f t="shared" si="28"/>
        <v>RES1.2.Piers</v>
      </c>
      <c r="AM88">
        <f t="shared" si="23"/>
        <v>29</v>
      </c>
      <c r="AN88">
        <f t="shared" si="29"/>
        <v>0.16813349547999934</v>
      </c>
      <c r="AO88">
        <f t="shared" si="24"/>
        <v>11</v>
      </c>
      <c r="AP88">
        <f ca="1">OFFSET(Coastal_DDF!$F$10,0,AO88,1,1)</f>
        <v>0</v>
      </c>
      <c r="AQ88">
        <f ca="1">OFFSET(Coastal_DDF!$F$10,0,AO88+1,1,1)</f>
        <v>0.5</v>
      </c>
      <c r="AR88">
        <f ca="1">OFFSET(Coastal_DDF!$F$10,AM88,AO88,1,1)</f>
        <v>6</v>
      </c>
      <c r="AS88">
        <f ca="1">OFFSET(Coastal_DDF!$F$10,AM88,AO88+1,1,1)</f>
        <v>7.5</v>
      </c>
      <c r="AT88">
        <f t="shared" ca="1" si="30"/>
        <v>3</v>
      </c>
      <c r="AU88">
        <f t="shared" ca="1" si="31"/>
        <v>6.504400486439998</v>
      </c>
      <c r="AV88">
        <f t="shared" ca="1" si="32"/>
        <v>10875.829182362944</v>
      </c>
      <c r="AW88">
        <f t="shared" ca="1" si="25"/>
        <v>10875.829182362944</v>
      </c>
      <c r="AX88">
        <f t="shared" si="33"/>
        <v>0.10251669548000031</v>
      </c>
      <c r="AY88">
        <f t="shared" si="26"/>
        <v>11</v>
      </c>
      <c r="AZ88">
        <f ca="1">OFFSET(Coastal_DDF!$F$10,0,AY88,1,1)</f>
        <v>0</v>
      </c>
      <c r="BA88">
        <f ca="1">OFFSET(Coastal_DDF!$F$10,0,AY88+1,1,1)</f>
        <v>0.5</v>
      </c>
      <c r="BB88">
        <f ca="1">OFFSET(Coastal_DDF!$F$10,AM88,AY88,1,1)</f>
        <v>6</v>
      </c>
      <c r="BC88">
        <f ca="1">OFFSET(Coastal_DDF!$F$10,AM88,AY88+1,1,1)</f>
        <v>7.5</v>
      </c>
      <c r="BD88">
        <f t="shared" ca="1" si="34"/>
        <v>3</v>
      </c>
      <c r="BE88">
        <f t="shared" ca="1" si="35"/>
        <v>6.3075500864400009</v>
      </c>
      <c r="BF88">
        <f t="shared" ca="1" si="36"/>
        <v>10546.681041908947</v>
      </c>
      <c r="BG88">
        <f t="shared" ca="1" si="27"/>
        <v>10546.681041908947</v>
      </c>
    </row>
    <row r="89" spans="1:59" x14ac:dyDescent="0.25">
      <c r="A89">
        <f>Inputs!A89</f>
        <v>100</v>
      </c>
      <c r="B89" t="str">
        <f>Inputs!B89</f>
        <v>NFWF-43281</v>
      </c>
      <c r="C89">
        <f>Inputs!C89</f>
        <v>1</v>
      </c>
      <c r="D89" t="str">
        <f>Inputs!D89</f>
        <v>DE_NFWF_43281_1_0001</v>
      </c>
      <c r="E89">
        <f>Inputs!E89</f>
        <v>12</v>
      </c>
      <c r="F89">
        <f>Inputs!F89</f>
        <v>0</v>
      </c>
      <c r="G89">
        <f>Inputs!G89</f>
        <v>277.34989000000002</v>
      </c>
      <c r="H89">
        <f>Inputs!H89</f>
        <v>4.6203209999999997</v>
      </c>
      <c r="I89">
        <f>Inputs!I89</f>
        <v>3.3103210000000001</v>
      </c>
      <c r="J89">
        <f>Inputs!J89</f>
        <v>1.31</v>
      </c>
      <c r="K89">
        <f>Inputs!K89</f>
        <v>5.99</v>
      </c>
      <c r="L89" t="str">
        <f>Inputs!L89</f>
        <v>C</v>
      </c>
      <c r="M89">
        <f>Inputs!M89</f>
        <v>0</v>
      </c>
      <c r="N89">
        <f>Inputs!N89</f>
        <v>15.158533949639999</v>
      </c>
      <c r="O89">
        <f>Inputs!O89</f>
        <v>10.860633549639999</v>
      </c>
      <c r="P89">
        <f>Inputs!P89</f>
        <v>4.2979004000000005</v>
      </c>
      <c r="Q89">
        <f>Inputs!Q89</f>
        <v>2985.3664809709999</v>
      </c>
      <c r="R89" t="str">
        <f>Inputs!R89</f>
        <v>County Property Assessor</v>
      </c>
      <c r="S89" t="str">
        <f>Inputs!S89</f>
        <v>330-5.00-9.00</v>
      </c>
      <c r="T89">
        <f>Inputs!T89</f>
        <v>0</v>
      </c>
      <c r="U89">
        <f>Inputs!U89</f>
        <v>320270.11607856886</v>
      </c>
      <c r="V89">
        <f>IF(Inputs!V89=0,2020,Inputs!V89)</f>
        <v>2020</v>
      </c>
      <c r="W89" t="str">
        <f>Inputs!W89</f>
        <v>UNK</v>
      </c>
      <c r="X89" t="str">
        <f>IF(Inputs!X89=0,"UNK",Inputs!X89)</f>
        <v>GOV1</v>
      </c>
      <c r="Y89" t="str">
        <f>Inputs!Y89</f>
        <v>Yes</v>
      </c>
      <c r="Z89" t="str">
        <f>Inputs!Z89</f>
        <v>Piers</v>
      </c>
      <c r="AA89">
        <f>Inputs!AA89</f>
        <v>2985.3664809709999</v>
      </c>
      <c r="AB89">
        <f>IF(Z89="Piers",MIN(2,Inputs!AB89),Inputs!AB89)</f>
        <v>1</v>
      </c>
      <c r="AC89">
        <f>Inputs!AC89</f>
        <v>9</v>
      </c>
      <c r="AD89">
        <f>Inputs!AD89</f>
        <v>107.28</v>
      </c>
      <c r="AE89">
        <f>Inputs!AE89</f>
        <v>2006</v>
      </c>
      <c r="AF89" t="str">
        <f>Inputs!AF89</f>
        <v>based on small townhall</v>
      </c>
      <c r="AG89">
        <f>Inputs!AG89</f>
        <v>0</v>
      </c>
      <c r="AH89" t="str">
        <f>Inputs!AH89</f>
        <v>https://property.sussexcountyde.gov/PT/datalets/datalet.aspx?mode=profileall&amp;sIndex=0&amp;idx=1&amp;LMparent=20</v>
      </c>
      <c r="AI89" t="str">
        <f>Inputs!AI89</f>
        <v>Dupont nature center</v>
      </c>
      <c r="AJ89" t="str">
        <f>Inputs!AJ89</f>
        <v>2992 Lighthouse Rd, Milford, DE 19963</v>
      </c>
      <c r="AK89" t="str">
        <f t="shared" si="22"/>
        <v>Pub</v>
      </c>
      <c r="AL89" t="str">
        <f t="shared" si="28"/>
        <v>GOV1</v>
      </c>
      <c r="AM89">
        <f t="shared" si="23"/>
        <v>8</v>
      </c>
      <c r="AN89">
        <f t="shared" si="29"/>
        <v>6.1585339496399989</v>
      </c>
      <c r="AO89">
        <f t="shared" si="24"/>
        <v>18</v>
      </c>
      <c r="AP89">
        <f ca="1">OFFSET(Coastal_DDF!$F$10,0,AO89,1,1)</f>
        <v>6</v>
      </c>
      <c r="AQ89">
        <f ca="1">OFFSET(Coastal_DDF!$F$10,0,AO89+1,1,1)</f>
        <v>7</v>
      </c>
      <c r="AR89">
        <f ca="1">OFFSET(Coastal_DDF!$F$10,AM89,AO89,1,1)</f>
        <v>15</v>
      </c>
      <c r="AS89">
        <f ca="1">OFFSET(Coastal_DDF!$F$10,AM89,AO89+1,1,1)</f>
        <v>17</v>
      </c>
      <c r="AT89">
        <f t="shared" ca="1" si="30"/>
        <v>2</v>
      </c>
      <c r="AU89">
        <f t="shared" ca="1" si="31"/>
        <v>15.317067899279998</v>
      </c>
      <c r="AV89">
        <f t="shared" ca="1" si="32"/>
        <v>49055.991140857259</v>
      </c>
      <c r="AW89">
        <f t="shared" ca="1" si="25"/>
        <v>49055.991140857259</v>
      </c>
      <c r="AX89">
        <f t="shared" si="33"/>
        <v>1.8606335496399993</v>
      </c>
      <c r="AY89">
        <f t="shared" si="26"/>
        <v>13</v>
      </c>
      <c r="AZ89">
        <f ca="1">OFFSET(Coastal_DDF!$F$10,0,AY89,1,1)</f>
        <v>1</v>
      </c>
      <c r="BA89">
        <f ca="1">OFFSET(Coastal_DDF!$F$10,0,AY89+1,1,1)</f>
        <v>2</v>
      </c>
      <c r="BB89">
        <f ca="1">OFFSET(Coastal_DDF!$F$10,AM89,AY89,1,1)</f>
        <v>5</v>
      </c>
      <c r="BC89">
        <f ca="1">OFFSET(Coastal_DDF!$F$10,AM89,AY89+1,1,1)</f>
        <v>8</v>
      </c>
      <c r="BD89">
        <f t="shared" ca="1" si="34"/>
        <v>3</v>
      </c>
      <c r="BE89">
        <f t="shared" ca="1" si="35"/>
        <v>7.5819006489199978</v>
      </c>
      <c r="BF89">
        <f t="shared" ca="1" si="36"/>
        <v>24282.562009257843</v>
      </c>
      <c r="BG89">
        <f t="shared" ca="1" si="27"/>
        <v>24282.562009257843</v>
      </c>
    </row>
    <row r="90" spans="1:59" x14ac:dyDescent="0.25">
      <c r="A90">
        <f>Inputs!A90</f>
        <v>100</v>
      </c>
      <c r="B90" t="str">
        <f>Inputs!B90</f>
        <v>NFWF-43281</v>
      </c>
      <c r="C90">
        <f>Inputs!C90</f>
        <v>1</v>
      </c>
      <c r="D90" t="str">
        <f>Inputs!D90</f>
        <v>DE_NFWF_43281_1_0002</v>
      </c>
      <c r="E90">
        <f>Inputs!E90</f>
        <v>12</v>
      </c>
      <c r="F90">
        <f>Inputs!F90</f>
        <v>0</v>
      </c>
      <c r="G90">
        <f>Inputs!G90</f>
        <v>177.004605</v>
      </c>
      <c r="H90">
        <f>Inputs!H90</f>
        <v>4.4065899999999996</v>
      </c>
      <c r="I90">
        <f>Inputs!I90</f>
        <v>3.2165910000000002</v>
      </c>
      <c r="J90">
        <f>Inputs!J90</f>
        <v>1.19</v>
      </c>
      <c r="K90">
        <f>Inputs!K90</f>
        <v>5.99</v>
      </c>
      <c r="L90" t="str">
        <f>Inputs!L90</f>
        <v>C</v>
      </c>
      <c r="M90">
        <f>Inputs!M90</f>
        <v>0</v>
      </c>
      <c r="N90">
        <f>Inputs!N90</f>
        <v>14.457316735599999</v>
      </c>
      <c r="O90">
        <f>Inputs!O90</f>
        <v>10.553120416440001</v>
      </c>
      <c r="P90">
        <f>Inputs!P90</f>
        <v>3.9041995999999997</v>
      </c>
      <c r="Q90">
        <f>Inputs!Q90</f>
        <v>1905.2598677594999</v>
      </c>
      <c r="R90" t="str">
        <f>Inputs!R90</f>
        <v>County Property Assessor</v>
      </c>
      <c r="S90" t="str">
        <f>Inputs!S90</f>
        <v>330-5.00-7.04</v>
      </c>
      <c r="T90">
        <f>Inputs!T90</f>
        <v>0</v>
      </c>
      <c r="U90">
        <f>Inputs!U90</f>
        <v>144704.48695633403</v>
      </c>
      <c r="V90">
        <f>IF(Inputs!V90=0,2020,Inputs!V90)</f>
        <v>2020</v>
      </c>
      <c r="W90" t="str">
        <f>Inputs!W90</f>
        <v>UNK</v>
      </c>
      <c r="X90" t="str">
        <f>IF(Inputs!X90=0,"UNK",Inputs!X90)</f>
        <v>COM2</v>
      </c>
      <c r="Y90" t="str">
        <f>Inputs!Y90</f>
        <v>No</v>
      </c>
      <c r="Z90" t="str">
        <f>Inputs!Z90</f>
        <v>Slab</v>
      </c>
      <c r="AA90">
        <f>Inputs!AA90</f>
        <v>1905.2598677594999</v>
      </c>
      <c r="AB90">
        <f>IF(Z90="Piers",MIN(2,Inputs!AB90),Inputs!AB90)</f>
        <v>1</v>
      </c>
      <c r="AC90">
        <f>Inputs!AC90</f>
        <v>1</v>
      </c>
      <c r="AD90">
        <f>Inputs!AD90</f>
        <v>75.95</v>
      </c>
      <c r="AE90">
        <f>Inputs!AE90</f>
        <v>2006</v>
      </c>
      <c r="AF90" t="str">
        <f>Inputs!AF90</f>
        <v>Based on warehouse (might be missing refridgeration costs)</v>
      </c>
      <c r="AG90">
        <f>Inputs!AG90</f>
        <v>0</v>
      </c>
      <c r="AH90">
        <f>Inputs!AH90</f>
        <v>0</v>
      </c>
      <c r="AI90" t="str">
        <f>Inputs!AI90</f>
        <v>That's right fresh seafood (wholesaler)</v>
      </c>
      <c r="AJ90" t="str">
        <f>Inputs!AJ90</f>
        <v>3018 Lighthouse Rd, Milford, DE 19963</v>
      </c>
      <c r="AK90" t="str">
        <f t="shared" si="22"/>
        <v>Com</v>
      </c>
      <c r="AL90" t="str">
        <f t="shared" si="28"/>
        <v>COM2</v>
      </c>
      <c r="AM90">
        <f t="shared" si="23"/>
        <v>9</v>
      </c>
      <c r="AN90">
        <f t="shared" si="29"/>
        <v>13.457316735599999</v>
      </c>
      <c r="AO90">
        <f t="shared" si="24"/>
        <v>25</v>
      </c>
      <c r="AP90">
        <f ca="1">OFFSET(Coastal_DDF!$F$10,0,AO90,1,1)</f>
        <v>13</v>
      </c>
      <c r="AQ90">
        <f ca="1">OFFSET(Coastal_DDF!$F$10,0,AO90+1,1,1)</f>
        <v>14</v>
      </c>
      <c r="AR90">
        <f ca="1">OFFSET(Coastal_DDF!$F$10,AM90,AO90,1,1)</f>
        <v>51</v>
      </c>
      <c r="AS90">
        <f ca="1">OFFSET(Coastal_DDF!$F$10,AM90,AO90+1,1,1)</f>
        <v>55</v>
      </c>
      <c r="AT90">
        <f t="shared" ca="1" si="30"/>
        <v>4</v>
      </c>
      <c r="AU90">
        <f t="shared" ca="1" si="31"/>
        <v>52.829266942399997</v>
      </c>
      <c r="AV90">
        <f t="shared" ca="1" si="32"/>
        <v>76446.319691792101</v>
      </c>
      <c r="AW90">
        <f t="shared" ca="1" si="25"/>
        <v>76446.319691792101</v>
      </c>
      <c r="AX90">
        <f t="shared" si="33"/>
        <v>9.5531204164400005</v>
      </c>
      <c r="AY90">
        <f t="shared" si="26"/>
        <v>21</v>
      </c>
      <c r="AZ90">
        <f ca="1">OFFSET(Coastal_DDF!$F$10,0,AY90,1,1)</f>
        <v>9</v>
      </c>
      <c r="BA90">
        <f ca="1">OFFSET(Coastal_DDF!$F$10,0,AY90+1,1,1)</f>
        <v>10</v>
      </c>
      <c r="BB90">
        <f ca="1">OFFSET(Coastal_DDF!$F$10,AM90,AY90,1,1)</f>
        <v>34</v>
      </c>
      <c r="BC90">
        <f ca="1">OFFSET(Coastal_DDF!$F$10,AM90,AY90+1,1,1)</f>
        <v>38</v>
      </c>
      <c r="BD90">
        <f t="shared" ca="1" si="34"/>
        <v>4</v>
      </c>
      <c r="BE90">
        <f t="shared" ca="1" si="35"/>
        <v>36.212481665760002</v>
      </c>
      <c r="BF90">
        <f t="shared" ca="1" si="36"/>
        <v>52401.085808594537</v>
      </c>
      <c r="BG90">
        <f t="shared" ca="1" si="27"/>
        <v>52401.085808594537</v>
      </c>
    </row>
    <row r="91" spans="1:59" x14ac:dyDescent="0.25">
      <c r="A91">
        <f>Inputs!A91</f>
        <v>0</v>
      </c>
      <c r="B91">
        <f>Inputs!B91</f>
        <v>0</v>
      </c>
      <c r="C91">
        <f>Inputs!C91</f>
        <v>0</v>
      </c>
      <c r="D91">
        <f>Inputs!D91</f>
        <v>0</v>
      </c>
      <c r="E91">
        <f>Inputs!E91</f>
        <v>0</v>
      </c>
      <c r="F91">
        <f>Inputs!F91</f>
        <v>0</v>
      </c>
      <c r="G91">
        <f>Inputs!G91</f>
        <v>0</v>
      </c>
      <c r="H91">
        <f>Inputs!H91</f>
        <v>0</v>
      </c>
      <c r="I91">
        <f>Inputs!I91</f>
        <v>0</v>
      </c>
      <c r="J91">
        <f>Inputs!J91</f>
        <v>0</v>
      </c>
      <c r="K91">
        <f>Inputs!K91</f>
        <v>0</v>
      </c>
      <c r="L91">
        <f>Inputs!L91</f>
        <v>0</v>
      </c>
      <c r="M91">
        <f>Inputs!M91</f>
        <v>0</v>
      </c>
      <c r="N91">
        <f>Inputs!N91</f>
        <v>0</v>
      </c>
      <c r="O91">
        <f>Inputs!O91</f>
        <v>0</v>
      </c>
      <c r="P91">
        <f>Inputs!P91</f>
        <v>0</v>
      </c>
      <c r="Q91">
        <f>Inputs!Q91</f>
        <v>0</v>
      </c>
      <c r="R91">
        <f>Inputs!R91</f>
        <v>0</v>
      </c>
      <c r="S91">
        <f>Inputs!S91</f>
        <v>0</v>
      </c>
      <c r="T91">
        <f>Inputs!T91</f>
        <v>0</v>
      </c>
      <c r="U91">
        <f>Inputs!U91</f>
        <v>0</v>
      </c>
      <c r="V91">
        <f>IF(Inputs!V91=0,2020,Inputs!V91)</f>
        <v>2020</v>
      </c>
      <c r="W91">
        <f>Inputs!W91</f>
        <v>0</v>
      </c>
      <c r="X91" t="str">
        <f>IF(Inputs!X91=0,"UNK",Inputs!X91)</f>
        <v>UNK</v>
      </c>
      <c r="Y91">
        <f>Inputs!Y91</f>
        <v>0</v>
      </c>
      <c r="Z91">
        <f>Inputs!Z91</f>
        <v>0</v>
      </c>
      <c r="AA91">
        <f>Inputs!AA91</f>
        <v>0</v>
      </c>
      <c r="AB91">
        <f>IF(Z91="Piers",MIN(2,Inputs!AB91),Inputs!AB91)</f>
        <v>0</v>
      </c>
      <c r="AC91">
        <f>Inputs!AC91</f>
        <v>0</v>
      </c>
      <c r="AD91">
        <f>Inputs!AD91</f>
        <v>0</v>
      </c>
      <c r="AE91">
        <f>Inputs!AE91</f>
        <v>0</v>
      </c>
      <c r="AF91">
        <f>Inputs!AF91</f>
        <v>0</v>
      </c>
      <c r="AG91">
        <f>Inputs!AG91</f>
        <v>0</v>
      </c>
      <c r="AH91">
        <f>Inputs!AH91</f>
        <v>0</v>
      </c>
      <c r="AI91">
        <f>Inputs!AI91</f>
        <v>0</v>
      </c>
      <c r="AJ91">
        <f>Inputs!AJ91</f>
        <v>0</v>
      </c>
      <c r="AK91" t="str">
        <f t="shared" si="22"/>
        <v>Unknown</v>
      </c>
      <c r="AL91" t="str">
        <f t="shared" si="28"/>
        <v>UNK</v>
      </c>
      <c r="AM91">
        <f t="shared" si="23"/>
        <v>30</v>
      </c>
      <c r="AN91">
        <f t="shared" si="29"/>
        <v>0</v>
      </c>
      <c r="AO91">
        <f t="shared" si="24"/>
        <v>11</v>
      </c>
      <c r="AP91">
        <f ca="1">OFFSET(Coastal_DDF!$F$10,0,AO91,1,1)</f>
        <v>0</v>
      </c>
      <c r="AQ91">
        <f ca="1">OFFSET(Coastal_DDF!$F$10,0,AO91+1,1,1)</f>
        <v>0.5</v>
      </c>
      <c r="AR91">
        <f ca="1">OFFSET(Coastal_DDF!$F$10,AM91,AO91,1,1)</f>
        <v>6</v>
      </c>
      <c r="AS91">
        <f ca="1">OFFSET(Coastal_DDF!$F$10,AM91,AO91+1,1,1)</f>
        <v>7.5</v>
      </c>
      <c r="AT91">
        <f t="shared" ca="1" si="30"/>
        <v>3</v>
      </c>
      <c r="AU91">
        <f t="shared" ca="1" si="31"/>
        <v>6</v>
      </c>
      <c r="AV91">
        <f t="shared" ca="1" si="32"/>
        <v>0</v>
      </c>
      <c r="AW91">
        <f t="shared" ca="1" si="25"/>
        <v>0</v>
      </c>
      <c r="AX91">
        <f t="shared" si="33"/>
        <v>0</v>
      </c>
      <c r="AY91">
        <f t="shared" si="26"/>
        <v>11</v>
      </c>
      <c r="AZ91">
        <f ca="1">OFFSET(Coastal_DDF!$F$10,0,AY91,1,1)</f>
        <v>0</v>
      </c>
      <c r="BA91">
        <f ca="1">OFFSET(Coastal_DDF!$F$10,0,AY91+1,1,1)</f>
        <v>0.5</v>
      </c>
      <c r="BB91">
        <f ca="1">OFFSET(Coastal_DDF!$F$10,AM91,AY91,1,1)</f>
        <v>6</v>
      </c>
      <c r="BC91">
        <f ca="1">OFFSET(Coastal_DDF!$F$10,AM91,AY91+1,1,1)</f>
        <v>7.5</v>
      </c>
      <c r="BD91">
        <f t="shared" ca="1" si="34"/>
        <v>3</v>
      </c>
      <c r="BE91">
        <f t="shared" ca="1" si="35"/>
        <v>6</v>
      </c>
      <c r="BF91">
        <f t="shared" ca="1" si="36"/>
        <v>0</v>
      </c>
      <c r="BG91">
        <f t="shared" ca="1" si="27"/>
        <v>0</v>
      </c>
    </row>
    <row r="92" spans="1:59" x14ac:dyDescent="0.25">
      <c r="A92">
        <f>Inputs!A92</f>
        <v>0</v>
      </c>
      <c r="B92">
        <f>Inputs!B92</f>
        <v>0</v>
      </c>
      <c r="C92">
        <f>Inputs!C92</f>
        <v>0</v>
      </c>
      <c r="D92">
        <f>Inputs!D92</f>
        <v>0</v>
      </c>
      <c r="E92">
        <f>Inputs!E92</f>
        <v>0</v>
      </c>
      <c r="F92">
        <f>Inputs!F92</f>
        <v>0</v>
      </c>
      <c r="G92">
        <f>Inputs!G92</f>
        <v>0</v>
      </c>
      <c r="H92">
        <f>Inputs!H92</f>
        <v>0</v>
      </c>
      <c r="I92">
        <f>Inputs!I92</f>
        <v>0</v>
      </c>
      <c r="J92">
        <f>Inputs!J92</f>
        <v>0</v>
      </c>
      <c r="K92">
        <f>Inputs!K92</f>
        <v>0</v>
      </c>
      <c r="L92">
        <f>Inputs!L92</f>
        <v>0</v>
      </c>
      <c r="M92">
        <f>Inputs!M92</f>
        <v>0</v>
      </c>
      <c r="N92">
        <f>Inputs!N92</f>
        <v>0</v>
      </c>
      <c r="O92">
        <f>Inputs!O92</f>
        <v>0</v>
      </c>
      <c r="P92">
        <f>Inputs!P92</f>
        <v>0</v>
      </c>
      <c r="Q92">
        <f>Inputs!Q92</f>
        <v>0</v>
      </c>
      <c r="R92">
        <f>Inputs!R92</f>
        <v>0</v>
      </c>
      <c r="S92">
        <f>Inputs!S92</f>
        <v>0</v>
      </c>
      <c r="T92">
        <f>Inputs!T92</f>
        <v>0</v>
      </c>
      <c r="U92">
        <f>Inputs!U92</f>
        <v>0</v>
      </c>
      <c r="V92">
        <f>IF(Inputs!V92=0,2020,Inputs!V92)</f>
        <v>2020</v>
      </c>
      <c r="W92">
        <f>Inputs!W92</f>
        <v>0</v>
      </c>
      <c r="X92" t="str">
        <f>IF(Inputs!X92=0,"UNK",Inputs!X92)</f>
        <v>UNK</v>
      </c>
      <c r="Y92">
        <f>Inputs!Y92</f>
        <v>0</v>
      </c>
      <c r="Z92">
        <f>Inputs!Z92</f>
        <v>0</v>
      </c>
      <c r="AA92">
        <f>Inputs!AA92</f>
        <v>0</v>
      </c>
      <c r="AB92">
        <f>IF(Z92="Piers",MIN(2,Inputs!AB92),Inputs!AB92)</f>
        <v>0</v>
      </c>
      <c r="AC92">
        <f>Inputs!AC92</f>
        <v>0</v>
      </c>
      <c r="AD92">
        <f>Inputs!AD92</f>
        <v>0</v>
      </c>
      <c r="AE92">
        <f>Inputs!AE92</f>
        <v>0</v>
      </c>
      <c r="AF92">
        <f>Inputs!AF92</f>
        <v>0</v>
      </c>
      <c r="AG92">
        <f>Inputs!AG92</f>
        <v>0</v>
      </c>
      <c r="AH92">
        <f>Inputs!AH92</f>
        <v>0</v>
      </c>
      <c r="AI92">
        <f>Inputs!AI92</f>
        <v>0</v>
      </c>
      <c r="AJ92">
        <f>Inputs!AJ92</f>
        <v>0</v>
      </c>
      <c r="AK92" t="str">
        <f t="shared" si="22"/>
        <v>Unknown</v>
      </c>
      <c r="AL92" t="str">
        <f t="shared" si="28"/>
        <v>UNK</v>
      </c>
      <c r="AM92">
        <f t="shared" si="23"/>
        <v>30</v>
      </c>
      <c r="AN92">
        <f t="shared" si="29"/>
        <v>0</v>
      </c>
      <c r="AO92">
        <f t="shared" si="24"/>
        <v>11</v>
      </c>
      <c r="AP92">
        <f ca="1">OFFSET(Coastal_DDF!$F$10,0,AO92,1,1)</f>
        <v>0</v>
      </c>
      <c r="AQ92">
        <f ca="1">OFFSET(Coastal_DDF!$F$10,0,AO92+1,1,1)</f>
        <v>0.5</v>
      </c>
      <c r="AR92">
        <f ca="1">OFFSET(Coastal_DDF!$F$10,AM92,AO92,1,1)</f>
        <v>6</v>
      </c>
      <c r="AS92">
        <f ca="1">OFFSET(Coastal_DDF!$F$10,AM92,AO92+1,1,1)</f>
        <v>7.5</v>
      </c>
      <c r="AT92">
        <f t="shared" ca="1" si="30"/>
        <v>3</v>
      </c>
      <c r="AU92">
        <f t="shared" ca="1" si="31"/>
        <v>6</v>
      </c>
      <c r="AV92">
        <f t="shared" ca="1" si="32"/>
        <v>0</v>
      </c>
      <c r="AW92">
        <f t="shared" ca="1" si="25"/>
        <v>0</v>
      </c>
      <c r="AX92">
        <f t="shared" si="33"/>
        <v>0</v>
      </c>
      <c r="AY92">
        <f t="shared" si="26"/>
        <v>11</v>
      </c>
      <c r="AZ92">
        <f ca="1">OFFSET(Coastal_DDF!$F$10,0,AY92,1,1)</f>
        <v>0</v>
      </c>
      <c r="BA92">
        <f ca="1">OFFSET(Coastal_DDF!$F$10,0,AY92+1,1,1)</f>
        <v>0.5</v>
      </c>
      <c r="BB92">
        <f ca="1">OFFSET(Coastal_DDF!$F$10,AM92,AY92,1,1)</f>
        <v>6</v>
      </c>
      <c r="BC92">
        <f ca="1">OFFSET(Coastal_DDF!$F$10,AM92,AY92+1,1,1)</f>
        <v>7.5</v>
      </c>
      <c r="BD92">
        <f t="shared" ca="1" si="34"/>
        <v>3</v>
      </c>
      <c r="BE92">
        <f t="shared" ca="1" si="35"/>
        <v>6</v>
      </c>
      <c r="BF92">
        <f t="shared" ca="1" si="36"/>
        <v>0</v>
      </c>
      <c r="BG92">
        <f t="shared" ca="1" si="27"/>
        <v>0</v>
      </c>
    </row>
    <row r="93" spans="1:59" x14ac:dyDescent="0.25">
      <c r="A93">
        <f>Inputs!A93</f>
        <v>0</v>
      </c>
      <c r="B93">
        <f>Inputs!B93</f>
        <v>0</v>
      </c>
      <c r="C93">
        <f>Inputs!C93</f>
        <v>0</v>
      </c>
      <c r="D93">
        <f>Inputs!D93</f>
        <v>0</v>
      </c>
      <c r="E93">
        <f>Inputs!E93</f>
        <v>0</v>
      </c>
      <c r="F93">
        <f>Inputs!F93</f>
        <v>0</v>
      </c>
      <c r="G93">
        <f>Inputs!G93</f>
        <v>0</v>
      </c>
      <c r="H93">
        <f>Inputs!H93</f>
        <v>0</v>
      </c>
      <c r="I93">
        <f>Inputs!I93</f>
        <v>0</v>
      </c>
      <c r="J93">
        <f>Inputs!J93</f>
        <v>0</v>
      </c>
      <c r="K93">
        <f>Inputs!K93</f>
        <v>0</v>
      </c>
      <c r="L93">
        <f>Inputs!L93</f>
        <v>0</v>
      </c>
      <c r="M93">
        <f>Inputs!M93</f>
        <v>0</v>
      </c>
      <c r="N93">
        <f>Inputs!N93</f>
        <v>0</v>
      </c>
      <c r="O93">
        <f>Inputs!O93</f>
        <v>0</v>
      </c>
      <c r="P93">
        <f>Inputs!P93</f>
        <v>0</v>
      </c>
      <c r="Q93">
        <f>Inputs!Q93</f>
        <v>0</v>
      </c>
      <c r="R93">
        <f>Inputs!R93</f>
        <v>0</v>
      </c>
      <c r="S93">
        <f>Inputs!S93</f>
        <v>0</v>
      </c>
      <c r="T93">
        <f>Inputs!T93</f>
        <v>0</v>
      </c>
      <c r="U93">
        <f>Inputs!U93</f>
        <v>0</v>
      </c>
      <c r="V93">
        <f>IF(Inputs!V93=0,2020,Inputs!V93)</f>
        <v>2020</v>
      </c>
      <c r="W93">
        <f>Inputs!W93</f>
        <v>0</v>
      </c>
      <c r="X93" t="str">
        <f>IF(Inputs!X93=0,"UNK",Inputs!X93)</f>
        <v>UNK</v>
      </c>
      <c r="Y93">
        <f>Inputs!Y93</f>
        <v>0</v>
      </c>
      <c r="Z93">
        <f>Inputs!Z93</f>
        <v>0</v>
      </c>
      <c r="AA93">
        <f>Inputs!AA93</f>
        <v>0</v>
      </c>
      <c r="AB93">
        <f>IF(Z93="Piers",MIN(2,Inputs!AB93),Inputs!AB93)</f>
        <v>0</v>
      </c>
      <c r="AC93">
        <f>Inputs!AC93</f>
        <v>0</v>
      </c>
      <c r="AD93">
        <f>Inputs!AD93</f>
        <v>0</v>
      </c>
      <c r="AE93">
        <f>Inputs!AE93</f>
        <v>0</v>
      </c>
      <c r="AF93">
        <f>Inputs!AF93</f>
        <v>0</v>
      </c>
      <c r="AG93">
        <f>Inputs!AG93</f>
        <v>0</v>
      </c>
      <c r="AH93">
        <f>Inputs!AH93</f>
        <v>0</v>
      </c>
      <c r="AI93">
        <f>Inputs!AI93</f>
        <v>0</v>
      </c>
      <c r="AJ93">
        <f>Inputs!AJ93</f>
        <v>0</v>
      </c>
      <c r="AK93" t="str">
        <f t="shared" si="22"/>
        <v>Unknown</v>
      </c>
      <c r="AL93" t="str">
        <f t="shared" si="28"/>
        <v>UNK</v>
      </c>
      <c r="AM93">
        <f t="shared" si="23"/>
        <v>30</v>
      </c>
      <c r="AN93">
        <f t="shared" si="29"/>
        <v>0</v>
      </c>
      <c r="AO93">
        <f t="shared" si="24"/>
        <v>11</v>
      </c>
      <c r="AP93">
        <f ca="1">OFFSET(Coastal_DDF!$F$10,0,AO93,1,1)</f>
        <v>0</v>
      </c>
      <c r="AQ93">
        <f ca="1">OFFSET(Coastal_DDF!$F$10,0,AO93+1,1,1)</f>
        <v>0.5</v>
      </c>
      <c r="AR93">
        <f ca="1">OFFSET(Coastal_DDF!$F$10,AM93,AO93,1,1)</f>
        <v>6</v>
      </c>
      <c r="AS93">
        <f ca="1">OFFSET(Coastal_DDF!$F$10,AM93,AO93+1,1,1)</f>
        <v>7.5</v>
      </c>
      <c r="AT93">
        <f t="shared" ca="1" si="30"/>
        <v>3</v>
      </c>
      <c r="AU93">
        <f t="shared" ca="1" si="31"/>
        <v>6</v>
      </c>
      <c r="AV93">
        <f t="shared" ca="1" si="32"/>
        <v>0</v>
      </c>
      <c r="AW93">
        <f t="shared" ca="1" si="25"/>
        <v>0</v>
      </c>
      <c r="AX93">
        <f t="shared" si="33"/>
        <v>0</v>
      </c>
      <c r="AY93">
        <f t="shared" si="26"/>
        <v>11</v>
      </c>
      <c r="AZ93">
        <f ca="1">OFFSET(Coastal_DDF!$F$10,0,AY93,1,1)</f>
        <v>0</v>
      </c>
      <c r="BA93">
        <f ca="1">OFFSET(Coastal_DDF!$F$10,0,AY93+1,1,1)</f>
        <v>0.5</v>
      </c>
      <c r="BB93">
        <f ca="1">OFFSET(Coastal_DDF!$F$10,AM93,AY93,1,1)</f>
        <v>6</v>
      </c>
      <c r="BC93">
        <f ca="1">OFFSET(Coastal_DDF!$F$10,AM93,AY93+1,1,1)</f>
        <v>7.5</v>
      </c>
      <c r="BD93">
        <f t="shared" ca="1" si="34"/>
        <v>3</v>
      </c>
      <c r="BE93">
        <f t="shared" ca="1" si="35"/>
        <v>6</v>
      </c>
      <c r="BF93">
        <f t="shared" ca="1" si="36"/>
        <v>0</v>
      </c>
      <c r="BG93">
        <f t="shared" ca="1" si="27"/>
        <v>0</v>
      </c>
    </row>
    <row r="94" spans="1:59" x14ac:dyDescent="0.25">
      <c r="A94">
        <f>Inputs!A94</f>
        <v>0</v>
      </c>
      <c r="B94">
        <f>Inputs!B94</f>
        <v>0</v>
      </c>
      <c r="C94">
        <f>Inputs!C94</f>
        <v>0</v>
      </c>
      <c r="D94">
        <f>Inputs!D94</f>
        <v>0</v>
      </c>
      <c r="E94">
        <f>Inputs!E94</f>
        <v>0</v>
      </c>
      <c r="F94">
        <f>Inputs!F94</f>
        <v>0</v>
      </c>
      <c r="G94">
        <f>Inputs!G94</f>
        <v>0</v>
      </c>
      <c r="H94">
        <f>Inputs!H94</f>
        <v>0</v>
      </c>
      <c r="I94">
        <f>Inputs!I94</f>
        <v>0</v>
      </c>
      <c r="J94">
        <f>Inputs!J94</f>
        <v>0</v>
      </c>
      <c r="K94">
        <f>Inputs!K94</f>
        <v>0</v>
      </c>
      <c r="L94">
        <f>Inputs!L94</f>
        <v>0</v>
      </c>
      <c r="M94">
        <f>Inputs!M94</f>
        <v>0</v>
      </c>
      <c r="N94">
        <f>Inputs!N94</f>
        <v>0</v>
      </c>
      <c r="O94">
        <f>Inputs!O94</f>
        <v>0</v>
      </c>
      <c r="P94">
        <f>Inputs!P94</f>
        <v>0</v>
      </c>
      <c r="Q94">
        <f>Inputs!Q94</f>
        <v>0</v>
      </c>
      <c r="R94">
        <f>Inputs!R94</f>
        <v>0</v>
      </c>
      <c r="S94">
        <f>Inputs!S94</f>
        <v>0</v>
      </c>
      <c r="T94">
        <f>Inputs!T94</f>
        <v>0</v>
      </c>
      <c r="U94">
        <f>Inputs!U94</f>
        <v>0</v>
      </c>
      <c r="V94">
        <f>IF(Inputs!V94=0,2020,Inputs!V94)</f>
        <v>2020</v>
      </c>
      <c r="W94">
        <f>Inputs!W94</f>
        <v>0</v>
      </c>
      <c r="X94" t="str">
        <f>IF(Inputs!X94=0,"UNK",Inputs!X94)</f>
        <v>UNK</v>
      </c>
      <c r="Y94">
        <f>Inputs!Y94</f>
        <v>0</v>
      </c>
      <c r="Z94">
        <f>Inputs!Z94</f>
        <v>0</v>
      </c>
      <c r="AA94">
        <f>Inputs!AA94</f>
        <v>0</v>
      </c>
      <c r="AB94">
        <f>IF(Z94="Piers",MIN(2,Inputs!AB94),Inputs!AB94)</f>
        <v>0</v>
      </c>
      <c r="AC94">
        <f>Inputs!AC94</f>
        <v>0</v>
      </c>
      <c r="AD94">
        <f>Inputs!AD94</f>
        <v>0</v>
      </c>
      <c r="AE94">
        <f>Inputs!AE94</f>
        <v>0</v>
      </c>
      <c r="AF94">
        <f>Inputs!AF94</f>
        <v>0</v>
      </c>
      <c r="AG94">
        <f>Inputs!AG94</f>
        <v>0</v>
      </c>
      <c r="AH94">
        <f>Inputs!AH94</f>
        <v>0</v>
      </c>
      <c r="AI94">
        <f>Inputs!AI94</f>
        <v>0</v>
      </c>
      <c r="AJ94">
        <f>Inputs!AJ94</f>
        <v>0</v>
      </c>
      <c r="AK94" t="str">
        <f t="shared" si="22"/>
        <v>Unknown</v>
      </c>
      <c r="AL94" t="str">
        <f t="shared" si="28"/>
        <v>UNK</v>
      </c>
      <c r="AM94">
        <f t="shared" si="23"/>
        <v>30</v>
      </c>
      <c r="AN94">
        <f t="shared" si="29"/>
        <v>0</v>
      </c>
      <c r="AO94">
        <f t="shared" si="24"/>
        <v>11</v>
      </c>
      <c r="AP94">
        <f ca="1">OFFSET(Coastal_DDF!$F$10,0,AO94,1,1)</f>
        <v>0</v>
      </c>
      <c r="AQ94">
        <f ca="1">OFFSET(Coastal_DDF!$F$10,0,AO94+1,1,1)</f>
        <v>0.5</v>
      </c>
      <c r="AR94">
        <f ca="1">OFFSET(Coastal_DDF!$F$10,AM94,AO94,1,1)</f>
        <v>6</v>
      </c>
      <c r="AS94">
        <f ca="1">OFFSET(Coastal_DDF!$F$10,AM94,AO94+1,1,1)</f>
        <v>7.5</v>
      </c>
      <c r="AT94">
        <f t="shared" ca="1" si="30"/>
        <v>3</v>
      </c>
      <c r="AU94">
        <f t="shared" ca="1" si="31"/>
        <v>6</v>
      </c>
      <c r="AV94">
        <f t="shared" ca="1" si="32"/>
        <v>0</v>
      </c>
      <c r="AW94">
        <f t="shared" ca="1" si="25"/>
        <v>0</v>
      </c>
      <c r="AX94">
        <f t="shared" si="33"/>
        <v>0</v>
      </c>
      <c r="AY94">
        <f t="shared" si="26"/>
        <v>11</v>
      </c>
      <c r="AZ94">
        <f ca="1">OFFSET(Coastal_DDF!$F$10,0,AY94,1,1)</f>
        <v>0</v>
      </c>
      <c r="BA94">
        <f ca="1">OFFSET(Coastal_DDF!$F$10,0,AY94+1,1,1)</f>
        <v>0.5</v>
      </c>
      <c r="BB94">
        <f ca="1">OFFSET(Coastal_DDF!$F$10,AM94,AY94,1,1)</f>
        <v>6</v>
      </c>
      <c r="BC94">
        <f ca="1">OFFSET(Coastal_DDF!$F$10,AM94,AY94+1,1,1)</f>
        <v>7.5</v>
      </c>
      <c r="BD94">
        <f t="shared" ca="1" si="34"/>
        <v>3</v>
      </c>
      <c r="BE94">
        <f t="shared" ca="1" si="35"/>
        <v>6</v>
      </c>
      <c r="BF94">
        <f t="shared" ca="1" si="36"/>
        <v>0</v>
      </c>
      <c r="BG94">
        <f t="shared" ca="1" si="27"/>
        <v>0</v>
      </c>
    </row>
    <row r="95" spans="1:59" x14ac:dyDescent="0.25">
      <c r="A95">
        <f>Inputs!A95</f>
        <v>0</v>
      </c>
      <c r="B95">
        <f>Inputs!B95</f>
        <v>0</v>
      </c>
      <c r="C95">
        <f>Inputs!C95</f>
        <v>0</v>
      </c>
      <c r="D95">
        <f>Inputs!D95</f>
        <v>0</v>
      </c>
      <c r="E95">
        <f>Inputs!E95</f>
        <v>0</v>
      </c>
      <c r="F95">
        <f>Inputs!F95</f>
        <v>0</v>
      </c>
      <c r="G95">
        <f>Inputs!G95</f>
        <v>0</v>
      </c>
      <c r="H95">
        <f>Inputs!H95</f>
        <v>0</v>
      </c>
      <c r="I95">
        <f>Inputs!I95</f>
        <v>0</v>
      </c>
      <c r="J95">
        <f>Inputs!J95</f>
        <v>0</v>
      </c>
      <c r="K95">
        <f>Inputs!K95</f>
        <v>0</v>
      </c>
      <c r="L95">
        <f>Inputs!L95</f>
        <v>0</v>
      </c>
      <c r="M95">
        <f>Inputs!M95</f>
        <v>0</v>
      </c>
      <c r="N95">
        <f>Inputs!N95</f>
        <v>0</v>
      </c>
      <c r="O95">
        <f>Inputs!O95</f>
        <v>0</v>
      </c>
      <c r="P95">
        <f>Inputs!P95</f>
        <v>0</v>
      </c>
      <c r="Q95">
        <f>Inputs!Q95</f>
        <v>0</v>
      </c>
      <c r="R95">
        <f>Inputs!R95</f>
        <v>0</v>
      </c>
      <c r="S95">
        <f>Inputs!S95</f>
        <v>0</v>
      </c>
      <c r="T95">
        <f>Inputs!T95</f>
        <v>0</v>
      </c>
      <c r="U95">
        <f>Inputs!U95</f>
        <v>0</v>
      </c>
      <c r="V95">
        <f>IF(Inputs!V95=0,2020,Inputs!V95)</f>
        <v>2020</v>
      </c>
      <c r="W95">
        <f>Inputs!W95</f>
        <v>0</v>
      </c>
      <c r="X95" t="str">
        <f>IF(Inputs!X95=0,"UNK",Inputs!X95)</f>
        <v>UNK</v>
      </c>
      <c r="Y95">
        <f>Inputs!Y95</f>
        <v>0</v>
      </c>
      <c r="Z95">
        <f>Inputs!Z95</f>
        <v>0</v>
      </c>
      <c r="AA95">
        <f>Inputs!AA95</f>
        <v>0</v>
      </c>
      <c r="AB95">
        <f>IF(Z95="Piers",MIN(2,Inputs!AB95),Inputs!AB95)</f>
        <v>0</v>
      </c>
      <c r="AC95">
        <f>Inputs!AC95</f>
        <v>0</v>
      </c>
      <c r="AD95">
        <f>Inputs!AD95</f>
        <v>0</v>
      </c>
      <c r="AE95">
        <f>Inputs!AE95</f>
        <v>0</v>
      </c>
      <c r="AF95">
        <f>Inputs!AF95</f>
        <v>0</v>
      </c>
      <c r="AG95">
        <f>Inputs!AG95</f>
        <v>0</v>
      </c>
      <c r="AH95">
        <f>Inputs!AH95</f>
        <v>0</v>
      </c>
      <c r="AI95">
        <f>Inputs!AI95</f>
        <v>0</v>
      </c>
      <c r="AJ95">
        <f>Inputs!AJ95</f>
        <v>0</v>
      </c>
      <c r="AK95" t="str">
        <f t="shared" si="22"/>
        <v>Unknown</v>
      </c>
      <c r="AL95" t="str">
        <f t="shared" si="28"/>
        <v>UNK</v>
      </c>
      <c r="AM95">
        <f t="shared" si="23"/>
        <v>30</v>
      </c>
      <c r="AN95">
        <f t="shared" si="29"/>
        <v>0</v>
      </c>
      <c r="AO95">
        <f t="shared" si="24"/>
        <v>11</v>
      </c>
      <c r="AP95">
        <f ca="1">OFFSET(Coastal_DDF!$F$10,0,AO95,1,1)</f>
        <v>0</v>
      </c>
      <c r="AQ95">
        <f ca="1">OFFSET(Coastal_DDF!$F$10,0,AO95+1,1,1)</f>
        <v>0.5</v>
      </c>
      <c r="AR95">
        <f ca="1">OFFSET(Coastal_DDF!$F$10,AM95,AO95,1,1)</f>
        <v>6</v>
      </c>
      <c r="AS95">
        <f ca="1">OFFSET(Coastal_DDF!$F$10,AM95,AO95+1,1,1)</f>
        <v>7.5</v>
      </c>
      <c r="AT95">
        <f t="shared" ca="1" si="30"/>
        <v>3</v>
      </c>
      <c r="AU95">
        <f t="shared" ca="1" si="31"/>
        <v>6</v>
      </c>
      <c r="AV95">
        <f t="shared" ca="1" si="32"/>
        <v>0</v>
      </c>
      <c r="AW95">
        <f t="shared" ca="1" si="25"/>
        <v>0</v>
      </c>
      <c r="AX95">
        <f t="shared" si="33"/>
        <v>0</v>
      </c>
      <c r="AY95">
        <f t="shared" si="26"/>
        <v>11</v>
      </c>
      <c r="AZ95">
        <f ca="1">OFFSET(Coastal_DDF!$F$10,0,AY95,1,1)</f>
        <v>0</v>
      </c>
      <c r="BA95">
        <f ca="1">OFFSET(Coastal_DDF!$F$10,0,AY95+1,1,1)</f>
        <v>0.5</v>
      </c>
      <c r="BB95">
        <f ca="1">OFFSET(Coastal_DDF!$F$10,AM95,AY95,1,1)</f>
        <v>6</v>
      </c>
      <c r="BC95">
        <f ca="1">OFFSET(Coastal_DDF!$F$10,AM95,AY95+1,1,1)</f>
        <v>7.5</v>
      </c>
      <c r="BD95">
        <f t="shared" ca="1" si="34"/>
        <v>3</v>
      </c>
      <c r="BE95">
        <f t="shared" ca="1" si="35"/>
        <v>6</v>
      </c>
      <c r="BF95">
        <f t="shared" ca="1" si="36"/>
        <v>0</v>
      </c>
      <c r="BG95">
        <f t="shared" ca="1" si="27"/>
        <v>0</v>
      </c>
    </row>
    <row r="96" spans="1:59" x14ac:dyDescent="0.25">
      <c r="A96">
        <f>Inputs!A96</f>
        <v>0</v>
      </c>
      <c r="B96">
        <f>Inputs!B96</f>
        <v>0</v>
      </c>
      <c r="C96">
        <f>Inputs!C96</f>
        <v>0</v>
      </c>
      <c r="D96">
        <f>Inputs!D96</f>
        <v>0</v>
      </c>
      <c r="E96">
        <f>Inputs!E96</f>
        <v>0</v>
      </c>
      <c r="F96">
        <f>Inputs!F96</f>
        <v>0</v>
      </c>
      <c r="G96">
        <f>Inputs!G96</f>
        <v>0</v>
      </c>
      <c r="H96">
        <f>Inputs!H96</f>
        <v>0</v>
      </c>
      <c r="I96">
        <f>Inputs!I96</f>
        <v>0</v>
      </c>
      <c r="J96">
        <f>Inputs!J96</f>
        <v>0</v>
      </c>
      <c r="K96">
        <f>Inputs!K96</f>
        <v>0</v>
      </c>
      <c r="L96">
        <f>Inputs!L96</f>
        <v>0</v>
      </c>
      <c r="M96">
        <f>Inputs!M96</f>
        <v>0</v>
      </c>
      <c r="N96">
        <f>Inputs!N96</f>
        <v>0</v>
      </c>
      <c r="O96">
        <f>Inputs!O96</f>
        <v>0</v>
      </c>
      <c r="P96">
        <f>Inputs!P96</f>
        <v>0</v>
      </c>
      <c r="Q96">
        <f>Inputs!Q96</f>
        <v>0</v>
      </c>
      <c r="R96">
        <f>Inputs!R96</f>
        <v>0</v>
      </c>
      <c r="S96">
        <f>Inputs!S96</f>
        <v>0</v>
      </c>
      <c r="T96">
        <f>Inputs!T96</f>
        <v>0</v>
      </c>
      <c r="U96">
        <f>Inputs!U96</f>
        <v>0</v>
      </c>
      <c r="V96">
        <f>IF(Inputs!V96=0,2020,Inputs!V96)</f>
        <v>2020</v>
      </c>
      <c r="W96">
        <f>Inputs!W96</f>
        <v>0</v>
      </c>
      <c r="X96" t="str">
        <f>IF(Inputs!X96=0,"UNK",Inputs!X96)</f>
        <v>UNK</v>
      </c>
      <c r="Y96">
        <f>Inputs!Y96</f>
        <v>0</v>
      </c>
      <c r="Z96">
        <f>Inputs!Z96</f>
        <v>0</v>
      </c>
      <c r="AA96">
        <f>Inputs!AA96</f>
        <v>0</v>
      </c>
      <c r="AB96">
        <f>IF(Z96="Piers",MIN(2,Inputs!AB96),Inputs!AB96)</f>
        <v>0</v>
      </c>
      <c r="AC96">
        <f>Inputs!AC96</f>
        <v>0</v>
      </c>
      <c r="AD96">
        <f>Inputs!AD96</f>
        <v>0</v>
      </c>
      <c r="AE96">
        <f>Inputs!AE96</f>
        <v>0</v>
      </c>
      <c r="AF96">
        <f>Inputs!AF96</f>
        <v>0</v>
      </c>
      <c r="AG96">
        <f>Inputs!AG96</f>
        <v>0</v>
      </c>
      <c r="AH96">
        <f>Inputs!AH96</f>
        <v>0</v>
      </c>
      <c r="AI96">
        <f>Inputs!AI96</f>
        <v>0</v>
      </c>
      <c r="AJ96">
        <f>Inputs!AJ96</f>
        <v>0</v>
      </c>
      <c r="AK96" t="str">
        <f t="shared" si="22"/>
        <v>Unknown</v>
      </c>
      <c r="AL96" t="str">
        <f t="shared" si="28"/>
        <v>UNK</v>
      </c>
      <c r="AM96">
        <f t="shared" si="23"/>
        <v>30</v>
      </c>
      <c r="AN96">
        <f t="shared" si="29"/>
        <v>0</v>
      </c>
      <c r="AO96">
        <f t="shared" si="24"/>
        <v>11</v>
      </c>
      <c r="AP96">
        <f ca="1">OFFSET(Coastal_DDF!$F$10,0,AO96,1,1)</f>
        <v>0</v>
      </c>
      <c r="AQ96">
        <f ca="1">OFFSET(Coastal_DDF!$F$10,0,AO96+1,1,1)</f>
        <v>0.5</v>
      </c>
      <c r="AR96">
        <f ca="1">OFFSET(Coastal_DDF!$F$10,AM96,AO96,1,1)</f>
        <v>6</v>
      </c>
      <c r="AS96">
        <f ca="1">OFFSET(Coastal_DDF!$F$10,AM96,AO96+1,1,1)</f>
        <v>7.5</v>
      </c>
      <c r="AT96">
        <f t="shared" ca="1" si="30"/>
        <v>3</v>
      </c>
      <c r="AU96">
        <f t="shared" ca="1" si="31"/>
        <v>6</v>
      </c>
      <c r="AV96">
        <f t="shared" ca="1" si="32"/>
        <v>0</v>
      </c>
      <c r="AW96">
        <f t="shared" ca="1" si="25"/>
        <v>0</v>
      </c>
      <c r="AX96">
        <f t="shared" si="33"/>
        <v>0</v>
      </c>
      <c r="AY96">
        <f t="shared" si="26"/>
        <v>11</v>
      </c>
      <c r="AZ96">
        <f ca="1">OFFSET(Coastal_DDF!$F$10,0,AY96,1,1)</f>
        <v>0</v>
      </c>
      <c r="BA96">
        <f ca="1">OFFSET(Coastal_DDF!$F$10,0,AY96+1,1,1)</f>
        <v>0.5</v>
      </c>
      <c r="BB96">
        <f ca="1">OFFSET(Coastal_DDF!$F$10,AM96,AY96,1,1)</f>
        <v>6</v>
      </c>
      <c r="BC96">
        <f ca="1">OFFSET(Coastal_DDF!$F$10,AM96,AY96+1,1,1)</f>
        <v>7.5</v>
      </c>
      <c r="BD96">
        <f t="shared" ca="1" si="34"/>
        <v>3</v>
      </c>
      <c r="BE96">
        <f t="shared" ca="1" si="35"/>
        <v>6</v>
      </c>
      <c r="BF96">
        <f t="shared" ca="1" si="36"/>
        <v>0</v>
      </c>
      <c r="BG96">
        <f t="shared" ca="1" si="27"/>
        <v>0</v>
      </c>
    </row>
    <row r="97" spans="1:59" x14ac:dyDescent="0.25">
      <c r="A97">
        <f>Inputs!A97</f>
        <v>0</v>
      </c>
      <c r="B97">
        <f>Inputs!B97</f>
        <v>0</v>
      </c>
      <c r="C97">
        <f>Inputs!C97</f>
        <v>0</v>
      </c>
      <c r="D97">
        <f>Inputs!D97</f>
        <v>0</v>
      </c>
      <c r="E97">
        <f>Inputs!E97</f>
        <v>0</v>
      </c>
      <c r="F97">
        <f>Inputs!F97</f>
        <v>0</v>
      </c>
      <c r="G97">
        <f>Inputs!G97</f>
        <v>0</v>
      </c>
      <c r="H97">
        <f>Inputs!H97</f>
        <v>0</v>
      </c>
      <c r="I97">
        <f>Inputs!I97</f>
        <v>0</v>
      </c>
      <c r="J97">
        <f>Inputs!J97</f>
        <v>0</v>
      </c>
      <c r="K97">
        <f>Inputs!K97</f>
        <v>0</v>
      </c>
      <c r="L97">
        <f>Inputs!L97</f>
        <v>0</v>
      </c>
      <c r="M97">
        <f>Inputs!M97</f>
        <v>0</v>
      </c>
      <c r="N97">
        <f>Inputs!N97</f>
        <v>0</v>
      </c>
      <c r="O97">
        <f>Inputs!O97</f>
        <v>0</v>
      </c>
      <c r="P97">
        <f>Inputs!P97</f>
        <v>0</v>
      </c>
      <c r="Q97">
        <f>Inputs!Q97</f>
        <v>0</v>
      </c>
      <c r="R97">
        <f>Inputs!R97</f>
        <v>0</v>
      </c>
      <c r="S97">
        <f>Inputs!S97</f>
        <v>0</v>
      </c>
      <c r="T97">
        <f>Inputs!T97</f>
        <v>0</v>
      </c>
      <c r="U97">
        <f>Inputs!U97</f>
        <v>0</v>
      </c>
      <c r="V97">
        <f>IF(Inputs!V97=0,2020,Inputs!V97)</f>
        <v>2020</v>
      </c>
      <c r="W97">
        <f>Inputs!W97</f>
        <v>0</v>
      </c>
      <c r="X97" t="str">
        <f>IF(Inputs!X97=0,"UNK",Inputs!X97)</f>
        <v>UNK</v>
      </c>
      <c r="Y97">
        <f>Inputs!Y97</f>
        <v>0</v>
      </c>
      <c r="Z97">
        <f>Inputs!Z97</f>
        <v>0</v>
      </c>
      <c r="AA97">
        <f>Inputs!AA97</f>
        <v>0</v>
      </c>
      <c r="AB97">
        <f>IF(Z97="Piers",MIN(2,Inputs!AB97),Inputs!AB97)</f>
        <v>0</v>
      </c>
      <c r="AC97">
        <f>Inputs!AC97</f>
        <v>0</v>
      </c>
      <c r="AD97">
        <f>Inputs!AD97</f>
        <v>0</v>
      </c>
      <c r="AE97">
        <f>Inputs!AE97</f>
        <v>0</v>
      </c>
      <c r="AF97">
        <f>Inputs!AF97</f>
        <v>0</v>
      </c>
      <c r="AG97">
        <f>Inputs!AG97</f>
        <v>0</v>
      </c>
      <c r="AH97">
        <f>Inputs!AH97</f>
        <v>0</v>
      </c>
      <c r="AI97">
        <f>Inputs!AI97</f>
        <v>0</v>
      </c>
      <c r="AJ97">
        <f>Inputs!AJ97</f>
        <v>0</v>
      </c>
      <c r="AK97" t="str">
        <f t="shared" si="22"/>
        <v>Unknown</v>
      </c>
      <c r="AL97" t="str">
        <f t="shared" si="28"/>
        <v>UNK</v>
      </c>
      <c r="AM97">
        <f t="shared" si="23"/>
        <v>30</v>
      </c>
      <c r="AN97">
        <f t="shared" si="29"/>
        <v>0</v>
      </c>
      <c r="AO97">
        <f t="shared" si="24"/>
        <v>11</v>
      </c>
      <c r="AP97">
        <f ca="1">OFFSET(Coastal_DDF!$F$10,0,AO97,1,1)</f>
        <v>0</v>
      </c>
      <c r="AQ97">
        <f ca="1">OFFSET(Coastal_DDF!$F$10,0,AO97+1,1,1)</f>
        <v>0.5</v>
      </c>
      <c r="AR97">
        <f ca="1">OFFSET(Coastal_DDF!$F$10,AM97,AO97,1,1)</f>
        <v>6</v>
      </c>
      <c r="AS97">
        <f ca="1">OFFSET(Coastal_DDF!$F$10,AM97,AO97+1,1,1)</f>
        <v>7.5</v>
      </c>
      <c r="AT97">
        <f t="shared" ca="1" si="30"/>
        <v>3</v>
      </c>
      <c r="AU97">
        <f t="shared" ca="1" si="31"/>
        <v>6</v>
      </c>
      <c r="AV97">
        <f t="shared" ca="1" si="32"/>
        <v>0</v>
      </c>
      <c r="AW97">
        <f t="shared" ca="1" si="25"/>
        <v>0</v>
      </c>
      <c r="AX97">
        <f t="shared" si="33"/>
        <v>0</v>
      </c>
      <c r="AY97">
        <f t="shared" si="26"/>
        <v>11</v>
      </c>
      <c r="AZ97">
        <f ca="1">OFFSET(Coastal_DDF!$F$10,0,AY97,1,1)</f>
        <v>0</v>
      </c>
      <c r="BA97">
        <f ca="1">OFFSET(Coastal_DDF!$F$10,0,AY97+1,1,1)</f>
        <v>0.5</v>
      </c>
      <c r="BB97">
        <f ca="1">OFFSET(Coastal_DDF!$F$10,AM97,AY97,1,1)</f>
        <v>6</v>
      </c>
      <c r="BC97">
        <f ca="1">OFFSET(Coastal_DDF!$F$10,AM97,AY97+1,1,1)</f>
        <v>7.5</v>
      </c>
      <c r="BD97">
        <f t="shared" ca="1" si="34"/>
        <v>3</v>
      </c>
      <c r="BE97">
        <f t="shared" ca="1" si="35"/>
        <v>6</v>
      </c>
      <c r="BF97">
        <f t="shared" ca="1" si="36"/>
        <v>0</v>
      </c>
      <c r="BG97">
        <f t="shared" ca="1" si="27"/>
        <v>0</v>
      </c>
    </row>
    <row r="98" spans="1:59" x14ac:dyDescent="0.25">
      <c r="A98">
        <f>Inputs!A98</f>
        <v>0</v>
      </c>
      <c r="B98">
        <f>Inputs!B98</f>
        <v>0</v>
      </c>
      <c r="C98">
        <f>Inputs!C98</f>
        <v>0</v>
      </c>
      <c r="D98">
        <f>Inputs!D98</f>
        <v>0</v>
      </c>
      <c r="E98">
        <f>Inputs!E98</f>
        <v>0</v>
      </c>
      <c r="F98">
        <f>Inputs!F98</f>
        <v>0</v>
      </c>
      <c r="G98">
        <f>Inputs!G98</f>
        <v>0</v>
      </c>
      <c r="H98">
        <f>Inputs!H98</f>
        <v>0</v>
      </c>
      <c r="I98">
        <f>Inputs!I98</f>
        <v>0</v>
      </c>
      <c r="J98">
        <f>Inputs!J98</f>
        <v>0</v>
      </c>
      <c r="K98">
        <f>Inputs!K98</f>
        <v>0</v>
      </c>
      <c r="L98">
        <f>Inputs!L98</f>
        <v>0</v>
      </c>
      <c r="M98">
        <f>Inputs!M98</f>
        <v>0</v>
      </c>
      <c r="N98">
        <f>Inputs!N98</f>
        <v>0</v>
      </c>
      <c r="O98">
        <f>Inputs!O98</f>
        <v>0</v>
      </c>
      <c r="P98">
        <f>Inputs!P98</f>
        <v>0</v>
      </c>
      <c r="Q98">
        <f>Inputs!Q98</f>
        <v>0</v>
      </c>
      <c r="R98">
        <f>Inputs!R98</f>
        <v>0</v>
      </c>
      <c r="S98">
        <f>Inputs!S98</f>
        <v>0</v>
      </c>
      <c r="T98">
        <f>Inputs!T98</f>
        <v>0</v>
      </c>
      <c r="U98">
        <f>Inputs!U98</f>
        <v>0</v>
      </c>
      <c r="V98">
        <f>IF(Inputs!V98=0,2020,Inputs!V98)</f>
        <v>2020</v>
      </c>
      <c r="W98">
        <f>Inputs!W98</f>
        <v>0</v>
      </c>
      <c r="X98" t="str">
        <f>IF(Inputs!X98=0,"UNK",Inputs!X98)</f>
        <v>UNK</v>
      </c>
      <c r="Y98">
        <f>Inputs!Y98</f>
        <v>0</v>
      </c>
      <c r="Z98">
        <f>Inputs!Z98</f>
        <v>0</v>
      </c>
      <c r="AA98">
        <f>Inputs!AA98</f>
        <v>0</v>
      </c>
      <c r="AB98">
        <f>IF(Z98="Piers",MIN(2,Inputs!AB98),Inputs!AB98)</f>
        <v>0</v>
      </c>
      <c r="AC98">
        <f>Inputs!AC98</f>
        <v>0</v>
      </c>
      <c r="AD98">
        <f>Inputs!AD98</f>
        <v>0</v>
      </c>
      <c r="AE98">
        <f>Inputs!AE98</f>
        <v>0</v>
      </c>
      <c r="AF98">
        <f>Inputs!AF98</f>
        <v>0</v>
      </c>
      <c r="AG98">
        <f>Inputs!AG98</f>
        <v>0</v>
      </c>
      <c r="AH98">
        <f>Inputs!AH98</f>
        <v>0</v>
      </c>
      <c r="AI98">
        <f>Inputs!AI98</f>
        <v>0</v>
      </c>
      <c r="AJ98">
        <f>Inputs!AJ98</f>
        <v>0</v>
      </c>
      <c r="AK98" t="str">
        <f t="shared" si="22"/>
        <v>Unknown</v>
      </c>
      <c r="AL98" t="str">
        <f t="shared" si="28"/>
        <v>UNK</v>
      </c>
      <c r="AM98">
        <f t="shared" si="23"/>
        <v>30</v>
      </c>
      <c r="AN98">
        <f t="shared" si="29"/>
        <v>0</v>
      </c>
      <c r="AO98">
        <f t="shared" si="24"/>
        <v>11</v>
      </c>
      <c r="AP98">
        <f ca="1">OFFSET(Coastal_DDF!$F$10,0,AO98,1,1)</f>
        <v>0</v>
      </c>
      <c r="AQ98">
        <f ca="1">OFFSET(Coastal_DDF!$F$10,0,AO98+1,1,1)</f>
        <v>0.5</v>
      </c>
      <c r="AR98">
        <f ca="1">OFFSET(Coastal_DDF!$F$10,AM98,AO98,1,1)</f>
        <v>6</v>
      </c>
      <c r="AS98">
        <f ca="1">OFFSET(Coastal_DDF!$F$10,AM98,AO98+1,1,1)</f>
        <v>7.5</v>
      </c>
      <c r="AT98">
        <f t="shared" ca="1" si="30"/>
        <v>3</v>
      </c>
      <c r="AU98">
        <f t="shared" ca="1" si="31"/>
        <v>6</v>
      </c>
      <c r="AV98">
        <f t="shared" ca="1" si="32"/>
        <v>0</v>
      </c>
      <c r="AW98">
        <f t="shared" ca="1" si="25"/>
        <v>0</v>
      </c>
      <c r="AX98">
        <f t="shared" si="33"/>
        <v>0</v>
      </c>
      <c r="AY98">
        <f t="shared" si="26"/>
        <v>11</v>
      </c>
      <c r="AZ98">
        <f ca="1">OFFSET(Coastal_DDF!$F$10,0,AY98,1,1)</f>
        <v>0</v>
      </c>
      <c r="BA98">
        <f ca="1">OFFSET(Coastal_DDF!$F$10,0,AY98+1,1,1)</f>
        <v>0.5</v>
      </c>
      <c r="BB98">
        <f ca="1">OFFSET(Coastal_DDF!$F$10,AM98,AY98,1,1)</f>
        <v>6</v>
      </c>
      <c r="BC98">
        <f ca="1">OFFSET(Coastal_DDF!$F$10,AM98,AY98+1,1,1)</f>
        <v>7.5</v>
      </c>
      <c r="BD98">
        <f t="shared" ca="1" si="34"/>
        <v>3</v>
      </c>
      <c r="BE98">
        <f t="shared" ca="1" si="35"/>
        <v>6</v>
      </c>
      <c r="BF98">
        <f t="shared" ca="1" si="36"/>
        <v>0</v>
      </c>
      <c r="BG98">
        <f t="shared" ca="1" si="27"/>
        <v>0</v>
      </c>
    </row>
    <row r="99" spans="1:59" x14ac:dyDescent="0.25">
      <c r="A99">
        <f>Inputs!A99</f>
        <v>0</v>
      </c>
      <c r="B99">
        <f>Inputs!B99</f>
        <v>0</v>
      </c>
      <c r="C99">
        <f>Inputs!C99</f>
        <v>0</v>
      </c>
      <c r="D99">
        <f>Inputs!D99</f>
        <v>0</v>
      </c>
      <c r="E99">
        <f>Inputs!E99</f>
        <v>0</v>
      </c>
      <c r="F99">
        <f>Inputs!F99</f>
        <v>0</v>
      </c>
      <c r="G99">
        <f>Inputs!G99</f>
        <v>0</v>
      </c>
      <c r="H99">
        <f>Inputs!H99</f>
        <v>0</v>
      </c>
      <c r="I99">
        <f>Inputs!I99</f>
        <v>0</v>
      </c>
      <c r="J99">
        <f>Inputs!J99</f>
        <v>0</v>
      </c>
      <c r="K99">
        <f>Inputs!K99</f>
        <v>0</v>
      </c>
      <c r="L99">
        <f>Inputs!L99</f>
        <v>0</v>
      </c>
      <c r="M99">
        <f>Inputs!M99</f>
        <v>0</v>
      </c>
      <c r="N99">
        <f>Inputs!N99</f>
        <v>0</v>
      </c>
      <c r="O99">
        <f>Inputs!O99</f>
        <v>0</v>
      </c>
      <c r="P99">
        <f>Inputs!P99</f>
        <v>0</v>
      </c>
      <c r="Q99">
        <f>Inputs!Q99</f>
        <v>0</v>
      </c>
      <c r="R99">
        <f>Inputs!R99</f>
        <v>0</v>
      </c>
      <c r="S99">
        <f>Inputs!S99</f>
        <v>0</v>
      </c>
      <c r="T99">
        <f>Inputs!T99</f>
        <v>0</v>
      </c>
      <c r="U99">
        <f>Inputs!U99</f>
        <v>0</v>
      </c>
      <c r="V99">
        <f>IF(Inputs!V99=0,2020,Inputs!V99)</f>
        <v>2020</v>
      </c>
      <c r="W99">
        <f>Inputs!W99</f>
        <v>0</v>
      </c>
      <c r="X99" t="str">
        <f>IF(Inputs!X99=0,"UNK",Inputs!X99)</f>
        <v>UNK</v>
      </c>
      <c r="Y99">
        <f>Inputs!Y99</f>
        <v>0</v>
      </c>
      <c r="Z99">
        <f>Inputs!Z99</f>
        <v>0</v>
      </c>
      <c r="AA99">
        <f>Inputs!AA99</f>
        <v>0</v>
      </c>
      <c r="AB99">
        <f>IF(Z99="Piers",MIN(2,Inputs!AB99),Inputs!AB99)</f>
        <v>0</v>
      </c>
      <c r="AC99">
        <f>Inputs!AC99</f>
        <v>0</v>
      </c>
      <c r="AD99">
        <f>Inputs!AD99</f>
        <v>0</v>
      </c>
      <c r="AE99">
        <f>Inputs!AE99</f>
        <v>0</v>
      </c>
      <c r="AF99">
        <f>Inputs!AF99</f>
        <v>0</v>
      </c>
      <c r="AG99">
        <f>Inputs!AG99</f>
        <v>0</v>
      </c>
      <c r="AH99">
        <f>Inputs!AH99</f>
        <v>0</v>
      </c>
      <c r="AI99">
        <f>Inputs!AI99</f>
        <v>0</v>
      </c>
      <c r="AJ99">
        <f>Inputs!AJ99</f>
        <v>0</v>
      </c>
      <c r="AK99" t="str">
        <f t="shared" si="22"/>
        <v>Unknown</v>
      </c>
      <c r="AL99" t="str">
        <f t="shared" si="28"/>
        <v>UNK</v>
      </c>
      <c r="AM99">
        <f t="shared" si="23"/>
        <v>30</v>
      </c>
      <c r="AN99">
        <f t="shared" si="29"/>
        <v>0</v>
      </c>
      <c r="AO99">
        <f t="shared" si="24"/>
        <v>11</v>
      </c>
      <c r="AP99">
        <f ca="1">OFFSET(Coastal_DDF!$F$10,0,AO99,1,1)</f>
        <v>0</v>
      </c>
      <c r="AQ99">
        <f ca="1">OFFSET(Coastal_DDF!$F$10,0,AO99+1,1,1)</f>
        <v>0.5</v>
      </c>
      <c r="AR99">
        <f ca="1">OFFSET(Coastal_DDF!$F$10,AM99,AO99,1,1)</f>
        <v>6</v>
      </c>
      <c r="AS99">
        <f ca="1">OFFSET(Coastal_DDF!$F$10,AM99,AO99+1,1,1)</f>
        <v>7.5</v>
      </c>
      <c r="AT99">
        <f t="shared" ca="1" si="30"/>
        <v>3</v>
      </c>
      <c r="AU99">
        <f t="shared" ca="1" si="31"/>
        <v>6</v>
      </c>
      <c r="AV99">
        <f t="shared" ca="1" si="32"/>
        <v>0</v>
      </c>
      <c r="AW99">
        <f t="shared" ca="1" si="25"/>
        <v>0</v>
      </c>
      <c r="AX99">
        <f t="shared" si="33"/>
        <v>0</v>
      </c>
      <c r="AY99">
        <f t="shared" si="26"/>
        <v>11</v>
      </c>
      <c r="AZ99">
        <f ca="1">OFFSET(Coastal_DDF!$F$10,0,AY99,1,1)</f>
        <v>0</v>
      </c>
      <c r="BA99">
        <f ca="1">OFFSET(Coastal_DDF!$F$10,0,AY99+1,1,1)</f>
        <v>0.5</v>
      </c>
      <c r="BB99">
        <f ca="1">OFFSET(Coastal_DDF!$F$10,AM99,AY99,1,1)</f>
        <v>6</v>
      </c>
      <c r="BC99">
        <f ca="1">OFFSET(Coastal_DDF!$F$10,AM99,AY99+1,1,1)</f>
        <v>7.5</v>
      </c>
      <c r="BD99">
        <f t="shared" ca="1" si="34"/>
        <v>3</v>
      </c>
      <c r="BE99">
        <f t="shared" ca="1" si="35"/>
        <v>6</v>
      </c>
      <c r="BF99">
        <f t="shared" ca="1" si="36"/>
        <v>0</v>
      </c>
      <c r="BG99">
        <f t="shared" ca="1" si="27"/>
        <v>0</v>
      </c>
    </row>
    <row r="100" spans="1:59" x14ac:dyDescent="0.25">
      <c r="A100">
        <f>Inputs!A100</f>
        <v>0</v>
      </c>
      <c r="B100">
        <f>Inputs!B100</f>
        <v>0</v>
      </c>
      <c r="C100">
        <f>Inputs!C100</f>
        <v>0</v>
      </c>
      <c r="D100">
        <f>Inputs!D100</f>
        <v>0</v>
      </c>
      <c r="E100">
        <f>Inputs!E100</f>
        <v>0</v>
      </c>
      <c r="F100">
        <f>Inputs!F100</f>
        <v>0</v>
      </c>
      <c r="G100">
        <f>Inputs!G100</f>
        <v>0</v>
      </c>
      <c r="H100">
        <f>Inputs!H100</f>
        <v>0</v>
      </c>
      <c r="I100">
        <f>Inputs!I100</f>
        <v>0</v>
      </c>
      <c r="J100">
        <f>Inputs!J100</f>
        <v>0</v>
      </c>
      <c r="K100">
        <f>Inputs!K100</f>
        <v>0</v>
      </c>
      <c r="L100">
        <f>Inputs!L100</f>
        <v>0</v>
      </c>
      <c r="M100">
        <f>Inputs!M100</f>
        <v>0</v>
      </c>
      <c r="N100">
        <f>Inputs!N100</f>
        <v>0</v>
      </c>
      <c r="O100">
        <f>Inputs!O100</f>
        <v>0</v>
      </c>
      <c r="P100">
        <f>Inputs!P100</f>
        <v>0</v>
      </c>
      <c r="Q100">
        <f>Inputs!Q100</f>
        <v>0</v>
      </c>
      <c r="R100">
        <f>Inputs!R100</f>
        <v>0</v>
      </c>
      <c r="S100">
        <f>Inputs!S100</f>
        <v>0</v>
      </c>
      <c r="T100">
        <f>Inputs!T100</f>
        <v>0</v>
      </c>
      <c r="U100">
        <f>Inputs!U100</f>
        <v>0</v>
      </c>
      <c r="V100">
        <f>IF(Inputs!V100=0,2020,Inputs!V100)</f>
        <v>2020</v>
      </c>
      <c r="W100">
        <f>Inputs!W100</f>
        <v>0</v>
      </c>
      <c r="X100" t="str">
        <f>IF(Inputs!X100=0,"UNK",Inputs!X100)</f>
        <v>UNK</v>
      </c>
      <c r="Y100">
        <f>Inputs!Y100</f>
        <v>0</v>
      </c>
      <c r="Z100">
        <f>Inputs!Z100</f>
        <v>0</v>
      </c>
      <c r="AA100">
        <f>Inputs!AA100</f>
        <v>0</v>
      </c>
      <c r="AB100">
        <f>IF(Z100="Piers",MIN(2,Inputs!AB100),Inputs!AB100)</f>
        <v>0</v>
      </c>
      <c r="AC100">
        <f>Inputs!AC100</f>
        <v>0</v>
      </c>
      <c r="AD100">
        <f>Inputs!AD100</f>
        <v>0</v>
      </c>
      <c r="AE100">
        <f>Inputs!AE100</f>
        <v>0</v>
      </c>
      <c r="AF100">
        <f>Inputs!AF100</f>
        <v>0</v>
      </c>
      <c r="AG100">
        <f>Inputs!AG100</f>
        <v>0</v>
      </c>
      <c r="AH100">
        <f>Inputs!AH100</f>
        <v>0</v>
      </c>
      <c r="AI100">
        <f>Inputs!AI100</f>
        <v>0</v>
      </c>
      <c r="AJ100">
        <f>Inputs!AJ100</f>
        <v>0</v>
      </c>
      <c r="AK100" t="str">
        <f t="shared" si="22"/>
        <v>Unknown</v>
      </c>
      <c r="AL100" t="str">
        <f t="shared" si="28"/>
        <v>UNK</v>
      </c>
      <c r="AM100">
        <f t="shared" si="23"/>
        <v>30</v>
      </c>
      <c r="AN100">
        <f t="shared" si="29"/>
        <v>0</v>
      </c>
      <c r="AO100">
        <f t="shared" si="24"/>
        <v>11</v>
      </c>
      <c r="AP100">
        <f ca="1">OFFSET(Coastal_DDF!$F$10,0,AO100,1,1)</f>
        <v>0</v>
      </c>
      <c r="AQ100">
        <f ca="1">OFFSET(Coastal_DDF!$F$10,0,AO100+1,1,1)</f>
        <v>0.5</v>
      </c>
      <c r="AR100">
        <f ca="1">OFFSET(Coastal_DDF!$F$10,AM100,AO100,1,1)</f>
        <v>6</v>
      </c>
      <c r="AS100">
        <f ca="1">OFFSET(Coastal_DDF!$F$10,AM100,AO100+1,1,1)</f>
        <v>7.5</v>
      </c>
      <c r="AT100">
        <f t="shared" ca="1" si="30"/>
        <v>3</v>
      </c>
      <c r="AU100">
        <f t="shared" ca="1" si="31"/>
        <v>6</v>
      </c>
      <c r="AV100">
        <f t="shared" ca="1" si="32"/>
        <v>0</v>
      </c>
      <c r="AW100">
        <f t="shared" ca="1" si="25"/>
        <v>0</v>
      </c>
      <c r="AX100">
        <f t="shared" si="33"/>
        <v>0</v>
      </c>
      <c r="AY100">
        <f t="shared" si="26"/>
        <v>11</v>
      </c>
      <c r="AZ100">
        <f ca="1">OFFSET(Coastal_DDF!$F$10,0,AY100,1,1)</f>
        <v>0</v>
      </c>
      <c r="BA100">
        <f ca="1">OFFSET(Coastal_DDF!$F$10,0,AY100+1,1,1)</f>
        <v>0.5</v>
      </c>
      <c r="BB100">
        <f ca="1">OFFSET(Coastal_DDF!$F$10,AM100,AY100,1,1)</f>
        <v>6</v>
      </c>
      <c r="BC100">
        <f ca="1">OFFSET(Coastal_DDF!$F$10,AM100,AY100+1,1,1)</f>
        <v>7.5</v>
      </c>
      <c r="BD100">
        <f t="shared" ca="1" si="34"/>
        <v>3</v>
      </c>
      <c r="BE100">
        <f t="shared" ca="1" si="35"/>
        <v>6</v>
      </c>
      <c r="BF100">
        <f t="shared" ca="1" si="36"/>
        <v>0</v>
      </c>
      <c r="BG100">
        <f t="shared" ca="1" si="27"/>
        <v>0</v>
      </c>
    </row>
  </sheetData>
  <mergeCells count="3">
    <mergeCell ref="A9:AJ9"/>
    <mergeCell ref="AL9:AM9"/>
    <mergeCell ref="AX9:BG9"/>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90"/>
  <sheetViews>
    <sheetView topLeftCell="A10" workbookViewId="0">
      <pane xSplit="4" ySplit="1" topLeftCell="N86" activePane="bottomRight" state="frozen"/>
      <selection activeCell="A10" sqref="A10"/>
      <selection pane="topRight" activeCell="E10" sqref="E10"/>
      <selection pane="bottomLeft" activeCell="A11" sqref="A11"/>
      <selection pane="bottomRight" activeCell="B90" sqref="B90"/>
    </sheetView>
  </sheetViews>
  <sheetFormatPr defaultRowHeight="15" x14ac:dyDescent="0.25"/>
  <cols>
    <col min="1" max="1" width="7.7109375" customWidth="1"/>
    <col min="2" max="2" width="14" customWidth="1"/>
    <col min="3" max="3" width="6" customWidth="1"/>
    <col min="4" max="4" width="17.140625" customWidth="1"/>
    <col min="12" max="12" width="15.85546875" customWidth="1"/>
    <col min="21" max="21" width="13.28515625" customWidth="1"/>
    <col min="33" max="33" width="13.140625" customWidth="1"/>
  </cols>
  <sheetData>
    <row r="1" spans="1:36" x14ac:dyDescent="0.25"/>
    <row r="5" spans="1:36" x14ac:dyDescent="0.25">
      <c r="A5" t="s">
        <v>86</v>
      </c>
    </row>
    <row r="10" spans="1:36" ht="225" x14ac:dyDescent="0.25">
      <c r="A10" s="18" t="s">
        <v>69</v>
      </c>
      <c r="B10" s="19" t="s">
        <v>70</v>
      </c>
      <c r="C10" s="19" t="s">
        <v>71</v>
      </c>
      <c r="D10" s="20" t="s">
        <v>429</v>
      </c>
      <c r="E10" s="22" t="s">
        <v>248</v>
      </c>
      <c r="F10" s="21" t="s">
        <v>72</v>
      </c>
      <c r="G10" s="22" t="s">
        <v>73</v>
      </c>
      <c r="H10" s="20" t="s">
        <v>74</v>
      </c>
      <c r="I10" s="18" t="s">
        <v>75</v>
      </c>
      <c r="J10" s="18" t="s">
        <v>76</v>
      </c>
      <c r="K10" s="22" t="s">
        <v>77</v>
      </c>
      <c r="L10" s="22" t="s">
        <v>272</v>
      </c>
      <c r="M10" s="22" t="s">
        <v>78</v>
      </c>
      <c r="N10" s="20" t="s">
        <v>79</v>
      </c>
      <c r="O10" s="18" t="s">
        <v>80</v>
      </c>
      <c r="P10" s="18" t="s">
        <v>81</v>
      </c>
      <c r="Q10" s="22" t="s">
        <v>82</v>
      </c>
      <c r="R10" s="22" t="s">
        <v>14</v>
      </c>
      <c r="S10" s="22" t="s">
        <v>15</v>
      </c>
      <c r="T10" s="22" t="s">
        <v>16</v>
      </c>
      <c r="U10" s="22" t="s">
        <v>17</v>
      </c>
      <c r="V10" s="22" t="s">
        <v>18</v>
      </c>
      <c r="W10" s="22" t="s">
        <v>19</v>
      </c>
      <c r="X10" s="23" t="s">
        <v>20</v>
      </c>
      <c r="Y10" s="22" t="s">
        <v>21</v>
      </c>
      <c r="Z10" s="20" t="s">
        <v>4</v>
      </c>
      <c r="AA10" s="20" t="s">
        <v>22</v>
      </c>
      <c r="AB10" s="22" t="s">
        <v>2</v>
      </c>
      <c r="AC10" s="22" t="s">
        <v>83</v>
      </c>
      <c r="AD10" s="21" t="s">
        <v>430</v>
      </c>
      <c r="AE10" s="21" t="s">
        <v>431</v>
      </c>
      <c r="AF10" s="21" t="s">
        <v>432</v>
      </c>
      <c r="AG10" s="20" t="s">
        <v>23</v>
      </c>
      <c r="AH10" s="22" t="s">
        <v>24</v>
      </c>
      <c r="AI10" s="22" t="s">
        <v>84</v>
      </c>
      <c r="AJ10" s="22" t="s">
        <v>25</v>
      </c>
    </row>
    <row r="11" spans="1:36" x14ac:dyDescent="0.25">
      <c r="A11" s="32">
        <v>2</v>
      </c>
      <c r="B11" s="32" t="s">
        <v>312</v>
      </c>
      <c r="C11" s="32">
        <v>1</v>
      </c>
      <c r="D11" s="32" t="s">
        <v>139</v>
      </c>
      <c r="E11" s="32">
        <v>11</v>
      </c>
      <c r="F11" s="33"/>
      <c r="G11" s="32">
        <v>122.303798</v>
      </c>
      <c r="H11" s="34">
        <v>0.52612300000000001</v>
      </c>
      <c r="I11" s="34">
        <v>0.30612299999999998</v>
      </c>
      <c r="J11" s="34">
        <v>0.22</v>
      </c>
      <c r="K11" s="32">
        <v>1</v>
      </c>
      <c r="L11" s="32" t="s">
        <v>140</v>
      </c>
      <c r="M11" s="32"/>
      <c r="N11" s="35">
        <v>1.7261253833200001</v>
      </c>
      <c r="O11" s="35">
        <v>1.0043405833199999</v>
      </c>
      <c r="P11" s="35">
        <v>0.7217848</v>
      </c>
      <c r="Q11" s="35">
        <v>1316.4658512921999</v>
      </c>
      <c r="R11" s="32" t="s">
        <v>249</v>
      </c>
      <c r="S11" s="32" t="s">
        <v>27</v>
      </c>
      <c r="T11" s="32"/>
      <c r="U11" s="38">
        <v>19780</v>
      </c>
      <c r="V11" s="32">
        <v>2006</v>
      </c>
      <c r="W11" s="32">
        <v>1992</v>
      </c>
      <c r="X11" s="32" t="s">
        <v>0</v>
      </c>
      <c r="Y11" s="32" t="s">
        <v>28</v>
      </c>
      <c r="Z11" s="32" t="s">
        <v>5</v>
      </c>
      <c r="AA11" s="34">
        <v>1316.4658512921999</v>
      </c>
      <c r="AB11" s="32">
        <v>1</v>
      </c>
      <c r="AC11" s="36">
        <v>1</v>
      </c>
      <c r="AD11" s="38">
        <v>19780</v>
      </c>
      <c r="AE11" s="32">
        <v>2006</v>
      </c>
      <c r="AF11" s="32" t="s">
        <v>250</v>
      </c>
      <c r="AG11" s="32">
        <v>0</v>
      </c>
      <c r="AH11" s="37" t="s">
        <v>29</v>
      </c>
      <c r="AI11" s="32" t="s">
        <v>30</v>
      </c>
      <c r="AJ11" s="32" t="s">
        <v>31</v>
      </c>
    </row>
    <row r="12" spans="1:36" x14ac:dyDescent="0.25">
      <c r="A12" s="32">
        <v>2</v>
      </c>
      <c r="B12" s="32" t="s">
        <v>312</v>
      </c>
      <c r="C12" s="32">
        <v>1</v>
      </c>
      <c r="D12" s="32" t="s">
        <v>141</v>
      </c>
      <c r="E12" s="32">
        <v>11</v>
      </c>
      <c r="F12" s="33"/>
      <c r="G12" s="32">
        <v>215.51209</v>
      </c>
      <c r="H12" s="34">
        <v>0.101313</v>
      </c>
      <c r="I12" s="34">
        <v>-0.118687</v>
      </c>
      <c r="J12" s="34">
        <v>0.101313</v>
      </c>
      <c r="K12" s="32">
        <v>1</v>
      </c>
      <c r="L12" s="32" t="s">
        <v>140</v>
      </c>
      <c r="M12" s="32"/>
      <c r="N12" s="35">
        <v>0.33239174292000001</v>
      </c>
      <c r="O12" s="35">
        <v>-0.38939305707999999</v>
      </c>
      <c r="P12" s="35">
        <v>0.33239174292000001</v>
      </c>
      <c r="Q12" s="35">
        <v>2319.7505855509999</v>
      </c>
      <c r="R12" s="32" t="s">
        <v>26</v>
      </c>
      <c r="S12" s="32" t="s">
        <v>27</v>
      </c>
      <c r="T12" s="38">
        <v>31900</v>
      </c>
      <c r="U12" s="38">
        <v>32556</v>
      </c>
      <c r="V12" s="32">
        <v>1992</v>
      </c>
      <c r="W12" s="32">
        <v>1992</v>
      </c>
      <c r="X12" s="32" t="s">
        <v>0</v>
      </c>
      <c r="Y12" s="32" t="s">
        <v>28</v>
      </c>
      <c r="Z12" s="32" t="s">
        <v>5</v>
      </c>
      <c r="AA12" s="39">
        <v>1800</v>
      </c>
      <c r="AB12" s="32">
        <v>1</v>
      </c>
      <c r="AC12" s="36">
        <v>1</v>
      </c>
      <c r="AD12" s="32">
        <v>92.84</v>
      </c>
      <c r="AE12" s="32">
        <v>2006</v>
      </c>
      <c r="AF12" s="32"/>
      <c r="AG12" s="32">
        <v>2.52</v>
      </c>
      <c r="AH12" s="37" t="s">
        <v>29</v>
      </c>
      <c r="AI12" s="32"/>
      <c r="AJ12" s="32" t="s">
        <v>31</v>
      </c>
    </row>
    <row r="13" spans="1:36" x14ac:dyDescent="0.25">
      <c r="A13" s="32">
        <v>20</v>
      </c>
      <c r="B13" s="32" t="s">
        <v>312</v>
      </c>
      <c r="C13" s="32">
        <v>1</v>
      </c>
      <c r="D13" s="32" t="s">
        <v>139</v>
      </c>
      <c r="E13" s="32">
        <v>11</v>
      </c>
      <c r="F13" s="33"/>
      <c r="G13" s="32">
        <v>122.303798</v>
      </c>
      <c r="H13" s="34">
        <v>1.3061229999999999</v>
      </c>
      <c r="I13" s="34">
        <v>0.84612299999999996</v>
      </c>
      <c r="J13" s="34">
        <v>0.46</v>
      </c>
      <c r="K13" s="32">
        <v>1</v>
      </c>
      <c r="L13" s="32" t="s">
        <v>140</v>
      </c>
      <c r="M13" s="32"/>
      <c r="N13" s="35">
        <v>4.2851805833199998</v>
      </c>
      <c r="O13" s="35">
        <v>2.7759941833199999</v>
      </c>
      <c r="P13" s="35">
        <v>1.5091864000000002</v>
      </c>
      <c r="Q13" s="35">
        <v>1316.4658512921999</v>
      </c>
      <c r="R13" s="32" t="s">
        <v>249</v>
      </c>
      <c r="S13" s="32" t="s">
        <v>27</v>
      </c>
      <c r="T13" s="32"/>
      <c r="U13" s="38">
        <v>19780</v>
      </c>
      <c r="V13" s="32">
        <v>2006</v>
      </c>
      <c r="W13" s="32">
        <v>1992</v>
      </c>
      <c r="X13" s="32" t="s">
        <v>0</v>
      </c>
      <c r="Y13" s="32" t="s">
        <v>28</v>
      </c>
      <c r="Z13" s="32" t="s">
        <v>5</v>
      </c>
      <c r="AA13" s="34">
        <v>1316.4658512921999</v>
      </c>
      <c r="AB13" s="32">
        <v>1</v>
      </c>
      <c r="AC13" s="36">
        <v>1</v>
      </c>
      <c r="AD13" s="38">
        <v>19780</v>
      </c>
      <c r="AE13" s="32">
        <v>2006</v>
      </c>
      <c r="AF13" s="32" t="s">
        <v>250</v>
      </c>
      <c r="AG13" s="32">
        <v>0</v>
      </c>
      <c r="AH13" s="37" t="s">
        <v>29</v>
      </c>
      <c r="AI13" s="32" t="s">
        <v>30</v>
      </c>
      <c r="AJ13" s="32" t="s">
        <v>31</v>
      </c>
    </row>
    <row r="14" spans="1:36" x14ac:dyDescent="0.25">
      <c r="A14" s="32">
        <v>20</v>
      </c>
      <c r="B14" s="32" t="s">
        <v>312</v>
      </c>
      <c r="C14" s="32">
        <v>1</v>
      </c>
      <c r="D14" s="32" t="s">
        <v>142</v>
      </c>
      <c r="E14" s="32">
        <v>10</v>
      </c>
      <c r="F14" s="33"/>
      <c r="G14" s="32">
        <v>436.01074299999999</v>
      </c>
      <c r="H14" s="34">
        <v>0.440473</v>
      </c>
      <c r="I14" s="34">
        <v>0.120473</v>
      </c>
      <c r="J14" s="34">
        <v>0.32</v>
      </c>
      <c r="K14" s="32">
        <v>1</v>
      </c>
      <c r="L14" s="32" t="s">
        <v>140</v>
      </c>
      <c r="M14" s="32"/>
      <c r="N14" s="35">
        <v>1.4451214373200001</v>
      </c>
      <c r="O14" s="35">
        <v>0.39525263731999999</v>
      </c>
      <c r="P14" s="35">
        <v>1.0498688</v>
      </c>
      <c r="Q14" s="35">
        <v>4693.1760365777</v>
      </c>
      <c r="R14" s="32" t="s">
        <v>251</v>
      </c>
      <c r="S14" s="32" t="s">
        <v>32</v>
      </c>
      <c r="T14" s="32"/>
      <c r="U14" s="44">
        <v>503483.92520405567</v>
      </c>
      <c r="V14" s="32">
        <v>2006</v>
      </c>
      <c r="W14" s="32"/>
      <c r="X14" s="32" t="s">
        <v>8</v>
      </c>
      <c r="Y14" s="32" t="s">
        <v>33</v>
      </c>
      <c r="Z14" s="32" t="s">
        <v>5</v>
      </c>
      <c r="AA14" s="34">
        <v>4693.1760365777</v>
      </c>
      <c r="AB14" s="32">
        <v>1</v>
      </c>
      <c r="AC14" s="36">
        <v>1</v>
      </c>
      <c r="AD14" s="32">
        <v>107.28</v>
      </c>
      <c r="AE14" s="32">
        <v>2006</v>
      </c>
      <c r="AF14" s="32" t="s">
        <v>252</v>
      </c>
      <c r="AG14" s="32">
        <v>0</v>
      </c>
      <c r="AH14" s="32"/>
      <c r="AI14" s="32" t="s">
        <v>34</v>
      </c>
      <c r="AJ14" s="40" t="s">
        <v>143</v>
      </c>
    </row>
    <row r="15" spans="1:36" x14ac:dyDescent="0.25">
      <c r="A15" s="32">
        <v>20</v>
      </c>
      <c r="B15" s="32" t="s">
        <v>312</v>
      </c>
      <c r="C15" s="32">
        <v>1</v>
      </c>
      <c r="D15" s="32" t="s">
        <v>141</v>
      </c>
      <c r="E15" s="32">
        <v>11</v>
      </c>
      <c r="F15" s="33"/>
      <c r="G15" s="32">
        <v>215.51209</v>
      </c>
      <c r="H15" s="34">
        <v>0.88131300000000001</v>
      </c>
      <c r="I15" s="34">
        <v>0.42131299999999999</v>
      </c>
      <c r="J15" s="34">
        <v>0.46</v>
      </c>
      <c r="K15" s="32">
        <v>1</v>
      </c>
      <c r="L15" s="32" t="s">
        <v>140</v>
      </c>
      <c r="M15" s="32"/>
      <c r="N15" s="35">
        <v>2.89144694292</v>
      </c>
      <c r="O15" s="35">
        <v>1.3822605429199999</v>
      </c>
      <c r="P15" s="35">
        <v>1.5091864000000002</v>
      </c>
      <c r="Q15" s="35">
        <v>2319.7505855509999</v>
      </c>
      <c r="R15" s="32" t="s">
        <v>26</v>
      </c>
      <c r="S15" s="32" t="s">
        <v>27</v>
      </c>
      <c r="T15" s="38">
        <v>31900</v>
      </c>
      <c r="U15" s="38">
        <v>32556</v>
      </c>
      <c r="V15" s="32">
        <v>1992</v>
      </c>
      <c r="W15" s="32">
        <v>1992</v>
      </c>
      <c r="X15" s="32" t="s">
        <v>0</v>
      </c>
      <c r="Y15" s="32" t="s">
        <v>28</v>
      </c>
      <c r="Z15" s="32" t="s">
        <v>5</v>
      </c>
      <c r="AA15" s="39">
        <v>1800</v>
      </c>
      <c r="AB15" s="32">
        <v>1</v>
      </c>
      <c r="AC15" s="36">
        <v>1</v>
      </c>
      <c r="AD15" s="32">
        <v>92.84</v>
      </c>
      <c r="AE15" s="32">
        <v>2006</v>
      </c>
      <c r="AF15" s="32"/>
      <c r="AG15" s="32">
        <v>2.52</v>
      </c>
      <c r="AH15" s="37" t="s">
        <v>29</v>
      </c>
      <c r="AI15" s="32"/>
      <c r="AJ15" s="32" t="s">
        <v>31</v>
      </c>
    </row>
    <row r="16" spans="1:36" x14ac:dyDescent="0.25">
      <c r="A16" s="32">
        <v>100</v>
      </c>
      <c r="B16" s="32" t="s">
        <v>312</v>
      </c>
      <c r="C16" s="32">
        <v>1</v>
      </c>
      <c r="D16" s="32" t="s">
        <v>139</v>
      </c>
      <c r="E16" s="32">
        <v>11</v>
      </c>
      <c r="F16" s="33"/>
      <c r="G16" s="32">
        <v>122.303798</v>
      </c>
      <c r="H16" s="34">
        <v>2.3061229999999999</v>
      </c>
      <c r="I16" s="34">
        <v>1.606123</v>
      </c>
      <c r="J16" s="34">
        <v>0.7</v>
      </c>
      <c r="K16" s="32">
        <v>1</v>
      </c>
      <c r="L16" s="32" t="s">
        <v>140</v>
      </c>
      <c r="M16" s="32"/>
      <c r="N16" s="35">
        <v>7.5660205833199994</v>
      </c>
      <c r="O16" s="35">
        <v>5.2694325833199995</v>
      </c>
      <c r="P16" s="35">
        <v>2.2965879999999999</v>
      </c>
      <c r="Q16" s="35">
        <v>1316.4658512921999</v>
      </c>
      <c r="R16" s="32" t="s">
        <v>249</v>
      </c>
      <c r="S16" s="32" t="s">
        <v>27</v>
      </c>
      <c r="T16" s="32"/>
      <c r="U16" s="38">
        <v>19780</v>
      </c>
      <c r="V16" s="32">
        <v>2006</v>
      </c>
      <c r="W16" s="32">
        <v>1992</v>
      </c>
      <c r="X16" s="32" t="s">
        <v>0</v>
      </c>
      <c r="Y16" s="32" t="s">
        <v>28</v>
      </c>
      <c r="Z16" s="32" t="s">
        <v>5</v>
      </c>
      <c r="AA16" s="34">
        <v>1316.4658512921999</v>
      </c>
      <c r="AB16" s="32">
        <v>1</v>
      </c>
      <c r="AC16" s="36">
        <v>1</v>
      </c>
      <c r="AD16" s="38">
        <v>19780</v>
      </c>
      <c r="AE16" s="32">
        <v>2006</v>
      </c>
      <c r="AF16" s="32" t="s">
        <v>250</v>
      </c>
      <c r="AG16" s="32">
        <v>0</v>
      </c>
      <c r="AH16" s="37" t="s">
        <v>29</v>
      </c>
      <c r="AI16" s="32" t="s">
        <v>30</v>
      </c>
      <c r="AJ16" s="32" t="s">
        <v>31</v>
      </c>
    </row>
    <row r="17" spans="1:36" x14ac:dyDescent="0.25">
      <c r="A17" s="32">
        <v>100</v>
      </c>
      <c r="B17" s="32" t="s">
        <v>312</v>
      </c>
      <c r="C17" s="32">
        <v>1</v>
      </c>
      <c r="D17" s="32" t="s">
        <v>142</v>
      </c>
      <c r="E17" s="32">
        <v>10</v>
      </c>
      <c r="F17" s="33"/>
      <c r="G17" s="32">
        <v>436.01074299999999</v>
      </c>
      <c r="H17" s="34">
        <v>1.4674069999999999</v>
      </c>
      <c r="I17" s="34">
        <v>0.92740699999999998</v>
      </c>
      <c r="J17" s="34">
        <v>0.54</v>
      </c>
      <c r="K17" s="32">
        <v>1</v>
      </c>
      <c r="L17" s="32" t="s">
        <v>140</v>
      </c>
      <c r="M17" s="32"/>
      <c r="N17" s="35">
        <v>4.8143275818799998</v>
      </c>
      <c r="O17" s="35">
        <v>3.0426739818799997</v>
      </c>
      <c r="P17" s="35">
        <v>1.7716536000000001</v>
      </c>
      <c r="Q17" s="35">
        <v>4693.1760365777</v>
      </c>
      <c r="R17" s="32" t="s">
        <v>253</v>
      </c>
      <c r="S17" s="32" t="s">
        <v>32</v>
      </c>
      <c r="T17" s="32"/>
      <c r="U17" s="44">
        <v>503483.92520405567</v>
      </c>
      <c r="V17" s="32">
        <v>2006</v>
      </c>
      <c r="W17" s="32"/>
      <c r="X17" s="32" t="s">
        <v>8</v>
      </c>
      <c r="Y17" s="32" t="s">
        <v>33</v>
      </c>
      <c r="Z17" s="32" t="s">
        <v>5</v>
      </c>
      <c r="AA17" s="34">
        <v>4693.1760365777</v>
      </c>
      <c r="AB17" s="32">
        <v>1</v>
      </c>
      <c r="AC17" s="36">
        <v>1</v>
      </c>
      <c r="AD17" s="32">
        <v>107.28</v>
      </c>
      <c r="AE17" s="32">
        <v>2006</v>
      </c>
      <c r="AF17" s="32" t="s">
        <v>252</v>
      </c>
      <c r="AG17" s="32">
        <v>0</v>
      </c>
      <c r="AH17" s="32"/>
      <c r="AI17" s="32" t="s">
        <v>34</v>
      </c>
      <c r="AJ17" s="40" t="s">
        <v>143</v>
      </c>
    </row>
    <row r="18" spans="1:36" x14ac:dyDescent="0.25">
      <c r="A18" s="32">
        <v>100</v>
      </c>
      <c r="B18" s="32" t="s">
        <v>312</v>
      </c>
      <c r="C18" s="32">
        <v>1</v>
      </c>
      <c r="D18" s="32" t="s">
        <v>144</v>
      </c>
      <c r="E18" s="32">
        <v>10</v>
      </c>
      <c r="F18" s="33"/>
      <c r="G18" s="32">
        <v>71.392313000000001</v>
      </c>
      <c r="H18" s="34">
        <v>1.5823970000000001</v>
      </c>
      <c r="I18" s="34">
        <v>1.042397</v>
      </c>
      <c r="J18" s="34">
        <v>0.54</v>
      </c>
      <c r="K18" s="32">
        <v>1</v>
      </c>
      <c r="L18" s="32" t="s">
        <v>140</v>
      </c>
      <c r="M18" s="32"/>
      <c r="N18" s="35">
        <v>5.1915913734800005</v>
      </c>
      <c r="O18" s="35">
        <v>3.4199377734800001</v>
      </c>
      <c r="P18" s="35">
        <v>1.7716536000000001</v>
      </c>
      <c r="Q18" s="35">
        <v>768.45971790069996</v>
      </c>
      <c r="R18" s="32" t="s">
        <v>253</v>
      </c>
      <c r="S18" s="32" t="s">
        <v>32</v>
      </c>
      <c r="T18" s="32"/>
      <c r="U18" s="44">
        <v>82440.358536387095</v>
      </c>
      <c r="V18" s="32">
        <v>2006</v>
      </c>
      <c r="W18" s="32"/>
      <c r="X18" s="32" t="s">
        <v>8</v>
      </c>
      <c r="Y18" s="32" t="s">
        <v>33</v>
      </c>
      <c r="Z18" s="32" t="s">
        <v>5</v>
      </c>
      <c r="AA18" s="34">
        <v>768.45971790069996</v>
      </c>
      <c r="AB18" s="32">
        <v>1</v>
      </c>
      <c r="AC18" s="36">
        <v>1</v>
      </c>
      <c r="AD18" s="32">
        <v>107.28</v>
      </c>
      <c r="AE18" s="32">
        <v>2006</v>
      </c>
      <c r="AF18" s="32" t="s">
        <v>252</v>
      </c>
      <c r="AG18" s="32">
        <v>0</v>
      </c>
      <c r="AH18" s="32"/>
      <c r="AI18" s="32" t="s">
        <v>35</v>
      </c>
      <c r="AJ18" s="40" t="s">
        <v>143</v>
      </c>
    </row>
    <row r="19" spans="1:36" x14ac:dyDescent="0.25">
      <c r="A19" s="32">
        <v>100</v>
      </c>
      <c r="B19" s="32" t="s">
        <v>312</v>
      </c>
      <c r="C19" s="32">
        <v>1</v>
      </c>
      <c r="D19" s="32" t="s">
        <v>141</v>
      </c>
      <c r="E19" s="32">
        <v>11</v>
      </c>
      <c r="F19" s="33"/>
      <c r="G19" s="32">
        <v>215.51209</v>
      </c>
      <c r="H19" s="34">
        <v>1.881313</v>
      </c>
      <c r="I19" s="34">
        <v>1.1813130000000001</v>
      </c>
      <c r="J19" s="34">
        <v>0.7</v>
      </c>
      <c r="K19" s="32">
        <v>1</v>
      </c>
      <c r="L19" s="32" t="s">
        <v>140</v>
      </c>
      <c r="M19" s="32"/>
      <c r="N19" s="35">
        <v>6.1722869429199996</v>
      </c>
      <c r="O19" s="35">
        <v>3.8756989429200002</v>
      </c>
      <c r="P19" s="35">
        <v>2.2965879999999999</v>
      </c>
      <c r="Q19" s="35">
        <v>2319.7505855509999</v>
      </c>
      <c r="R19" s="32" t="s">
        <v>26</v>
      </c>
      <c r="S19" s="32" t="s">
        <v>27</v>
      </c>
      <c r="T19" s="38">
        <v>31900</v>
      </c>
      <c r="U19" s="38">
        <v>32556</v>
      </c>
      <c r="V19" s="32">
        <v>1992</v>
      </c>
      <c r="W19" s="32">
        <v>1992</v>
      </c>
      <c r="X19" s="32" t="s">
        <v>0</v>
      </c>
      <c r="Y19" s="32" t="s">
        <v>28</v>
      </c>
      <c r="Z19" s="32" t="s">
        <v>5</v>
      </c>
      <c r="AA19" s="39">
        <v>1800</v>
      </c>
      <c r="AB19" s="32">
        <v>1</v>
      </c>
      <c r="AC19" s="36">
        <v>1</v>
      </c>
      <c r="AD19" s="32">
        <v>92.84</v>
      </c>
      <c r="AE19" s="32">
        <v>2006</v>
      </c>
      <c r="AF19" s="32"/>
      <c r="AG19" s="32">
        <v>2.52</v>
      </c>
      <c r="AH19" s="37" t="s">
        <v>29</v>
      </c>
      <c r="AI19" s="32"/>
      <c r="AJ19" s="32" t="s">
        <v>31</v>
      </c>
    </row>
    <row r="20" spans="1:36" x14ac:dyDescent="0.25">
      <c r="A20" s="32">
        <v>20</v>
      </c>
      <c r="B20" s="32" t="s">
        <v>308</v>
      </c>
      <c r="C20" s="32">
        <v>1</v>
      </c>
      <c r="D20" s="32" t="s">
        <v>145</v>
      </c>
      <c r="E20" s="32"/>
      <c r="F20" s="33"/>
      <c r="G20" s="32">
        <v>6.9797969999999996</v>
      </c>
      <c r="H20" s="34">
        <v>2.5904980000000002</v>
      </c>
      <c r="I20" s="34">
        <v>-0.399503</v>
      </c>
      <c r="J20" s="34">
        <v>2.5904980000000002</v>
      </c>
      <c r="K20" s="32">
        <v>1.62</v>
      </c>
      <c r="L20" s="32" t="s">
        <v>28</v>
      </c>
      <c r="M20" s="32"/>
      <c r="N20" s="35">
        <v>8.4990094583199998</v>
      </c>
      <c r="O20" s="35">
        <v>-1.3107054225199999</v>
      </c>
      <c r="P20" s="35">
        <v>8.4990094583199998</v>
      </c>
      <c r="Q20" s="35">
        <v>75.129836928299994</v>
      </c>
      <c r="R20" s="32" t="s">
        <v>146</v>
      </c>
      <c r="S20" s="32" t="s">
        <v>147</v>
      </c>
      <c r="T20" s="38">
        <v>0</v>
      </c>
      <c r="U20" s="38">
        <v>0</v>
      </c>
      <c r="V20" s="32">
        <v>2020</v>
      </c>
      <c r="W20" s="32"/>
      <c r="X20" s="32" t="s">
        <v>238</v>
      </c>
      <c r="Y20" s="32" t="s">
        <v>28</v>
      </c>
      <c r="Z20" s="32" t="s">
        <v>5</v>
      </c>
      <c r="AA20" s="34">
        <v>75.129836928299994</v>
      </c>
      <c r="AB20" s="32">
        <v>0</v>
      </c>
      <c r="AC20" s="36">
        <v>1</v>
      </c>
      <c r="AD20" s="32">
        <v>0</v>
      </c>
      <c r="AE20" s="32"/>
      <c r="AF20" s="32"/>
      <c r="AG20" s="32">
        <v>0</v>
      </c>
      <c r="AH20" s="37"/>
      <c r="AI20" s="32" t="s">
        <v>148</v>
      </c>
      <c r="AJ20" s="32" t="s">
        <v>149</v>
      </c>
    </row>
    <row r="21" spans="1:36" x14ac:dyDescent="0.25">
      <c r="A21" s="32">
        <v>20</v>
      </c>
      <c r="B21" s="32" t="s">
        <v>308</v>
      </c>
      <c r="C21" s="32">
        <v>1</v>
      </c>
      <c r="D21" s="32" t="s">
        <v>150</v>
      </c>
      <c r="E21" s="32"/>
      <c r="F21" s="33"/>
      <c r="G21" s="32">
        <v>46.485855000000001</v>
      </c>
      <c r="H21" s="34">
        <v>2.6036239999999999</v>
      </c>
      <c r="I21" s="34">
        <v>-0.43637599999999999</v>
      </c>
      <c r="J21" s="34">
        <v>2.6036239999999999</v>
      </c>
      <c r="K21" s="32">
        <v>1.62</v>
      </c>
      <c r="L21" s="32" t="s">
        <v>28</v>
      </c>
      <c r="M21" s="32"/>
      <c r="N21" s="35">
        <v>8.5420737641599995</v>
      </c>
      <c r="O21" s="35">
        <v>-1.43167983584</v>
      </c>
      <c r="P21" s="35">
        <v>8.5420737641599995</v>
      </c>
      <c r="Q21" s="35">
        <v>500.36909463450002</v>
      </c>
      <c r="R21" s="32" t="s">
        <v>146</v>
      </c>
      <c r="S21" s="32" t="s">
        <v>151</v>
      </c>
      <c r="T21" s="38">
        <v>0</v>
      </c>
      <c r="U21" s="38">
        <v>0</v>
      </c>
      <c r="V21" s="32">
        <v>2020</v>
      </c>
      <c r="W21" s="32"/>
      <c r="X21" s="32" t="s">
        <v>238</v>
      </c>
      <c r="Y21" s="32" t="s">
        <v>33</v>
      </c>
      <c r="Z21" s="32" t="s">
        <v>5</v>
      </c>
      <c r="AA21" s="34">
        <v>500.36909463450002</v>
      </c>
      <c r="AB21" s="32">
        <v>0</v>
      </c>
      <c r="AC21" s="36">
        <v>1</v>
      </c>
      <c r="AD21" s="32">
        <v>0</v>
      </c>
      <c r="AE21" s="32"/>
      <c r="AF21" s="32"/>
      <c r="AG21" s="32">
        <v>0</v>
      </c>
      <c r="AH21" s="37"/>
      <c r="AI21" s="32" t="s">
        <v>254</v>
      </c>
      <c r="AJ21" s="32" t="s">
        <v>149</v>
      </c>
    </row>
    <row r="22" spans="1:36" x14ac:dyDescent="0.25">
      <c r="A22" s="32">
        <v>20</v>
      </c>
      <c r="B22" s="32" t="s">
        <v>308</v>
      </c>
      <c r="C22" s="32">
        <v>1</v>
      </c>
      <c r="D22" s="32" t="s">
        <v>152</v>
      </c>
      <c r="E22" s="32"/>
      <c r="F22" s="33"/>
      <c r="G22" s="32">
        <v>15.134173000000001</v>
      </c>
      <c r="H22" s="34">
        <v>2.4007909999999999</v>
      </c>
      <c r="I22" s="34">
        <v>2.3307910000000001</v>
      </c>
      <c r="J22" s="34">
        <v>7.0000000000000007E-2</v>
      </c>
      <c r="K22" s="32">
        <v>1.62</v>
      </c>
      <c r="L22" s="32" t="s">
        <v>28</v>
      </c>
      <c r="M22" s="32"/>
      <c r="N22" s="35">
        <v>7.87661114444</v>
      </c>
      <c r="O22" s="35">
        <v>7.6469523444399998</v>
      </c>
      <c r="P22" s="35">
        <v>0.22965880000000002</v>
      </c>
      <c r="Q22" s="35">
        <v>162.90272475469999</v>
      </c>
      <c r="R22" s="32" t="s">
        <v>255</v>
      </c>
      <c r="S22" s="32" t="s">
        <v>151</v>
      </c>
      <c r="T22" s="38"/>
      <c r="U22" s="44">
        <v>27776.543597923894</v>
      </c>
      <c r="V22" s="32">
        <v>2006</v>
      </c>
      <c r="W22" s="32"/>
      <c r="X22" s="32" t="s">
        <v>125</v>
      </c>
      <c r="Y22" s="32" t="s">
        <v>33</v>
      </c>
      <c r="Z22" s="32" t="s">
        <v>5</v>
      </c>
      <c r="AA22" s="34">
        <v>162.90272475469999</v>
      </c>
      <c r="AB22" s="32">
        <v>1</v>
      </c>
      <c r="AC22" s="36">
        <v>1</v>
      </c>
      <c r="AD22" s="32">
        <v>170.51</v>
      </c>
      <c r="AE22" s="32">
        <v>2006</v>
      </c>
      <c r="AF22" s="32" t="s">
        <v>256</v>
      </c>
      <c r="AG22" s="32">
        <v>0</v>
      </c>
      <c r="AH22" s="37" t="s">
        <v>153</v>
      </c>
      <c r="AI22" s="32" t="s">
        <v>154</v>
      </c>
      <c r="AJ22" s="32" t="s">
        <v>149</v>
      </c>
    </row>
    <row r="23" spans="1:36" x14ac:dyDescent="0.25">
      <c r="A23" s="32">
        <v>100</v>
      </c>
      <c r="B23" s="32" t="s">
        <v>308</v>
      </c>
      <c r="C23" s="32">
        <v>1</v>
      </c>
      <c r="D23" s="32" t="s">
        <v>155</v>
      </c>
      <c r="E23" s="32"/>
      <c r="F23" s="33"/>
      <c r="G23" s="32">
        <v>122.990993</v>
      </c>
      <c r="H23" s="34">
        <v>4.3840000000000003</v>
      </c>
      <c r="I23" s="34">
        <v>1.1140000000000001</v>
      </c>
      <c r="J23" s="34">
        <v>3.27</v>
      </c>
      <c r="K23" s="32">
        <v>4.9000000000000004</v>
      </c>
      <c r="L23" s="32" t="s">
        <v>28</v>
      </c>
      <c r="M23" s="32"/>
      <c r="N23" s="35">
        <v>14.383202560000001</v>
      </c>
      <c r="O23" s="35">
        <v>3.6548557600000002</v>
      </c>
      <c r="P23" s="35">
        <v>10.728346800000001</v>
      </c>
      <c r="Q23" s="35">
        <v>1323.8627495527001</v>
      </c>
      <c r="R23" s="32" t="s">
        <v>257</v>
      </c>
      <c r="S23" s="32" t="s">
        <v>156</v>
      </c>
      <c r="T23" s="38"/>
      <c r="U23" s="44">
        <v>225731.83742623086</v>
      </c>
      <c r="V23" s="32">
        <v>2006</v>
      </c>
      <c r="W23" s="32">
        <v>1980</v>
      </c>
      <c r="X23" s="32" t="s">
        <v>125</v>
      </c>
      <c r="Y23" s="32" t="s">
        <v>28</v>
      </c>
      <c r="Z23" s="32" t="s">
        <v>5</v>
      </c>
      <c r="AA23" s="34">
        <v>1323.8627495527001</v>
      </c>
      <c r="AB23" s="32">
        <v>1</v>
      </c>
      <c r="AC23" s="36">
        <v>1</v>
      </c>
      <c r="AD23" s="32">
        <v>170.51</v>
      </c>
      <c r="AE23" s="32">
        <v>2006</v>
      </c>
      <c r="AF23" s="32" t="s">
        <v>256</v>
      </c>
      <c r="AG23" s="32">
        <v>0</v>
      </c>
      <c r="AH23" s="37" t="s">
        <v>157</v>
      </c>
      <c r="AI23" s="32" t="s">
        <v>158</v>
      </c>
      <c r="AJ23" s="32" t="s">
        <v>159</v>
      </c>
    </row>
    <row r="24" spans="1:36" x14ac:dyDescent="0.25">
      <c r="A24" s="32">
        <v>100</v>
      </c>
      <c r="B24" s="32" t="s">
        <v>308</v>
      </c>
      <c r="C24" s="32">
        <v>1</v>
      </c>
      <c r="D24" s="32" t="s">
        <v>160</v>
      </c>
      <c r="E24" s="32"/>
      <c r="F24" s="33"/>
      <c r="G24" s="32">
        <v>166.026702</v>
      </c>
      <c r="H24" s="34">
        <v>3.6384409999999998</v>
      </c>
      <c r="I24" s="34">
        <v>0.20843999999999999</v>
      </c>
      <c r="J24" s="34">
        <v>3.43</v>
      </c>
      <c r="K24" s="32">
        <v>4.9000000000000004</v>
      </c>
      <c r="L24" s="32" t="s">
        <v>28</v>
      </c>
      <c r="M24" s="32"/>
      <c r="N24" s="35">
        <v>11.937142770439999</v>
      </c>
      <c r="O24" s="35">
        <v>0.68385828959999995</v>
      </c>
      <c r="P24" s="35">
        <v>11.2532812</v>
      </c>
      <c r="Q24" s="35">
        <v>1787.0948176577999</v>
      </c>
      <c r="R24" s="32" t="s">
        <v>258</v>
      </c>
      <c r="S24" s="32" t="s">
        <v>147</v>
      </c>
      <c r="T24" s="38"/>
      <c r="U24" s="44">
        <v>191719.53203832879</v>
      </c>
      <c r="V24" s="32">
        <v>2006</v>
      </c>
      <c r="W24" s="32"/>
      <c r="X24" s="32" t="s">
        <v>8</v>
      </c>
      <c r="Y24" s="32" t="s">
        <v>28</v>
      </c>
      <c r="Z24" s="32" t="s">
        <v>5</v>
      </c>
      <c r="AA24" s="34">
        <v>1787.0948176577999</v>
      </c>
      <c r="AB24" s="32">
        <v>1</v>
      </c>
      <c r="AC24" s="36">
        <v>1</v>
      </c>
      <c r="AD24" s="32">
        <v>107.28</v>
      </c>
      <c r="AE24" s="32">
        <v>2006</v>
      </c>
      <c r="AF24" s="32" t="s">
        <v>252</v>
      </c>
      <c r="AG24" s="32">
        <v>0</v>
      </c>
      <c r="AH24" s="37"/>
      <c r="AI24" s="32" t="s">
        <v>161</v>
      </c>
      <c r="AJ24" s="32" t="s">
        <v>149</v>
      </c>
    </row>
    <row r="25" spans="1:36" x14ac:dyDescent="0.25">
      <c r="A25" s="32">
        <v>100</v>
      </c>
      <c r="B25" s="32" t="s">
        <v>308</v>
      </c>
      <c r="C25" s="32">
        <v>1</v>
      </c>
      <c r="D25" s="32" t="s">
        <v>162</v>
      </c>
      <c r="E25" s="32">
        <v>11</v>
      </c>
      <c r="F25" s="33"/>
      <c r="G25" s="32">
        <v>2131.7189149999999</v>
      </c>
      <c r="H25" s="34">
        <v>3.9239999999999999</v>
      </c>
      <c r="I25" s="34">
        <v>3.794</v>
      </c>
      <c r="J25" s="34">
        <v>0.13</v>
      </c>
      <c r="K25" s="32">
        <v>1.62</v>
      </c>
      <c r="L25" s="32" t="s">
        <v>140</v>
      </c>
      <c r="M25" s="32"/>
      <c r="N25" s="35">
        <v>12.87401616</v>
      </c>
      <c r="O25" s="35">
        <v>12.44750696</v>
      </c>
      <c r="P25" s="35">
        <v>0.42650920000000003</v>
      </c>
      <c r="Q25" s="35">
        <v>22945.609229168498</v>
      </c>
      <c r="R25" s="32" t="s">
        <v>259</v>
      </c>
      <c r="S25" s="32" t="s">
        <v>147</v>
      </c>
      <c r="T25" s="38"/>
      <c r="U25" s="44">
        <v>3912455.8296655202</v>
      </c>
      <c r="V25" s="32">
        <v>2006</v>
      </c>
      <c r="W25" s="32"/>
      <c r="X25" s="32" t="s">
        <v>125</v>
      </c>
      <c r="Y25" s="32" t="s">
        <v>33</v>
      </c>
      <c r="Z25" s="32" t="s">
        <v>5</v>
      </c>
      <c r="AA25" s="34">
        <v>22945.609229168498</v>
      </c>
      <c r="AB25" s="32">
        <v>1</v>
      </c>
      <c r="AC25" s="36">
        <v>1</v>
      </c>
      <c r="AD25" s="32">
        <v>170.51</v>
      </c>
      <c r="AE25" s="32">
        <v>2006</v>
      </c>
      <c r="AF25" s="32" t="s">
        <v>256</v>
      </c>
      <c r="AG25" s="32">
        <v>0</v>
      </c>
      <c r="AH25" s="37" t="s">
        <v>153</v>
      </c>
      <c r="AI25" s="32" t="s">
        <v>163</v>
      </c>
      <c r="AJ25" s="32" t="s">
        <v>149</v>
      </c>
    </row>
    <row r="26" spans="1:36" x14ac:dyDescent="0.25">
      <c r="A26" s="32">
        <v>100</v>
      </c>
      <c r="B26" s="32" t="s">
        <v>308</v>
      </c>
      <c r="C26" s="32">
        <v>1</v>
      </c>
      <c r="D26" s="32" t="s">
        <v>164</v>
      </c>
      <c r="E26" s="32"/>
      <c r="F26" s="33"/>
      <c r="G26" s="32">
        <v>493.45110699999998</v>
      </c>
      <c r="H26" s="34">
        <v>4.1039580000000004</v>
      </c>
      <c r="I26" s="34">
        <v>4.083958</v>
      </c>
      <c r="J26" s="34">
        <v>0.02</v>
      </c>
      <c r="K26" s="32">
        <v>1.62</v>
      </c>
      <c r="L26" s="32" t="s">
        <v>28</v>
      </c>
      <c r="M26" s="32"/>
      <c r="N26" s="35">
        <v>13.464429564720001</v>
      </c>
      <c r="O26" s="35">
        <v>13.398812764720001</v>
      </c>
      <c r="P26" s="35">
        <v>6.5616800000000003E-2</v>
      </c>
      <c r="Q26" s="35">
        <v>5311.4583706372996</v>
      </c>
      <c r="R26" s="32" t="s">
        <v>259</v>
      </c>
      <c r="S26" s="32" t="s">
        <v>147</v>
      </c>
      <c r="T26" s="38"/>
      <c r="U26" s="44">
        <v>1811313.5335547319</v>
      </c>
      <c r="V26" s="32">
        <v>2006</v>
      </c>
      <c r="W26" s="32"/>
      <c r="X26" s="32" t="s">
        <v>125</v>
      </c>
      <c r="Y26" s="32" t="s">
        <v>33</v>
      </c>
      <c r="Z26" s="32" t="s">
        <v>5</v>
      </c>
      <c r="AA26" s="34">
        <v>10622.916741274599</v>
      </c>
      <c r="AB26" s="32">
        <v>2</v>
      </c>
      <c r="AC26" s="36">
        <v>1</v>
      </c>
      <c r="AD26" s="32">
        <v>170.51</v>
      </c>
      <c r="AE26" s="32">
        <v>2006</v>
      </c>
      <c r="AF26" s="32" t="s">
        <v>256</v>
      </c>
      <c r="AG26" s="32">
        <v>0</v>
      </c>
      <c r="AH26" s="37" t="s">
        <v>153</v>
      </c>
      <c r="AI26" s="32" t="s">
        <v>163</v>
      </c>
      <c r="AJ26" s="32" t="s">
        <v>149</v>
      </c>
    </row>
    <row r="27" spans="1:36" x14ac:dyDescent="0.25">
      <c r="A27" s="32">
        <v>100</v>
      </c>
      <c r="B27" s="32" t="s">
        <v>308</v>
      </c>
      <c r="C27" s="32">
        <v>1</v>
      </c>
      <c r="D27" s="32" t="s">
        <v>165</v>
      </c>
      <c r="E27" s="32"/>
      <c r="F27" s="33"/>
      <c r="G27" s="32">
        <v>2599.3282869999998</v>
      </c>
      <c r="H27" s="34">
        <v>4.3878029999999999</v>
      </c>
      <c r="I27" s="34">
        <v>1.0978030000000001</v>
      </c>
      <c r="J27" s="34">
        <v>3.29</v>
      </c>
      <c r="K27" s="32">
        <v>1.62</v>
      </c>
      <c r="L27" s="32" t="s">
        <v>28</v>
      </c>
      <c r="M27" s="32"/>
      <c r="N27" s="35">
        <v>14.395679594519999</v>
      </c>
      <c r="O27" s="35">
        <v>3.6017159945200001</v>
      </c>
      <c r="P27" s="35">
        <v>10.7939636</v>
      </c>
      <c r="Q27" s="35">
        <v>27978.909748439299</v>
      </c>
      <c r="R27" s="32" t="s">
        <v>260</v>
      </c>
      <c r="S27" s="32" t="s">
        <v>166</v>
      </c>
      <c r="T27" s="38">
        <v>0</v>
      </c>
      <c r="U27" s="38">
        <v>0</v>
      </c>
      <c r="V27" s="32">
        <v>2020</v>
      </c>
      <c r="W27" s="32"/>
      <c r="X27" s="32" t="s">
        <v>238</v>
      </c>
      <c r="Y27" s="32" t="s">
        <v>28</v>
      </c>
      <c r="Z27" s="32" t="s">
        <v>5</v>
      </c>
      <c r="AA27" s="34">
        <v>0</v>
      </c>
      <c r="AB27" s="32">
        <v>0</v>
      </c>
      <c r="AC27" s="36">
        <v>1</v>
      </c>
      <c r="AD27" s="32">
        <v>0</v>
      </c>
      <c r="AE27" s="32"/>
      <c r="AF27" s="32"/>
      <c r="AG27" s="32">
        <v>0</v>
      </c>
      <c r="AH27" s="37" t="s">
        <v>167</v>
      </c>
      <c r="AI27" s="32" t="s">
        <v>261</v>
      </c>
      <c r="AJ27" s="32" t="s">
        <v>168</v>
      </c>
    </row>
    <row r="28" spans="1:36" x14ac:dyDescent="0.25">
      <c r="A28" s="32">
        <v>100</v>
      </c>
      <c r="B28" s="32" t="s">
        <v>308</v>
      </c>
      <c r="C28" s="32">
        <v>1</v>
      </c>
      <c r="D28" s="32" t="s">
        <v>169</v>
      </c>
      <c r="E28" s="32"/>
      <c r="F28" s="33"/>
      <c r="G28" s="32">
        <v>167.28158300000001</v>
      </c>
      <c r="H28" s="34">
        <v>3.4765160000000002</v>
      </c>
      <c r="I28" s="34">
        <v>0.20651600000000001</v>
      </c>
      <c r="J28" s="34">
        <v>3.27</v>
      </c>
      <c r="K28" s="32">
        <v>4.9000000000000004</v>
      </c>
      <c r="L28" s="32" t="s">
        <v>28</v>
      </c>
      <c r="M28" s="32"/>
      <c r="N28" s="35">
        <v>11.40589275344</v>
      </c>
      <c r="O28" s="35">
        <v>0.67754595344000002</v>
      </c>
      <c r="P28" s="35">
        <v>10.728346800000001</v>
      </c>
      <c r="Q28" s="35">
        <v>1800.6022312537</v>
      </c>
      <c r="R28" s="32" t="s">
        <v>170</v>
      </c>
      <c r="S28" s="32" t="s">
        <v>156</v>
      </c>
      <c r="T28" s="38"/>
      <c r="U28" s="44">
        <v>324648.58229504211</v>
      </c>
      <c r="V28" s="32">
        <v>2006</v>
      </c>
      <c r="W28" s="32">
        <v>1938</v>
      </c>
      <c r="X28" s="32" t="s">
        <v>0</v>
      </c>
      <c r="Y28" s="32" t="s">
        <v>28</v>
      </c>
      <c r="Z28" s="32" t="s">
        <v>5</v>
      </c>
      <c r="AA28" s="34">
        <v>3601.2044625074</v>
      </c>
      <c r="AB28" s="32">
        <v>2</v>
      </c>
      <c r="AC28" s="36">
        <v>1</v>
      </c>
      <c r="AD28" s="32">
        <v>90.15</v>
      </c>
      <c r="AE28" s="32">
        <v>2006</v>
      </c>
      <c r="AF28" s="32"/>
      <c r="AG28" s="32">
        <v>2.82</v>
      </c>
      <c r="AH28" s="37" t="s">
        <v>157</v>
      </c>
      <c r="AI28" s="32" t="s">
        <v>171</v>
      </c>
      <c r="AJ28" s="32" t="s">
        <v>159</v>
      </c>
    </row>
    <row r="29" spans="1:36" x14ac:dyDescent="0.25">
      <c r="A29" s="32">
        <v>100</v>
      </c>
      <c r="B29" s="32" t="s">
        <v>308</v>
      </c>
      <c r="C29" s="32">
        <v>1</v>
      </c>
      <c r="D29" s="32" t="s">
        <v>172</v>
      </c>
      <c r="E29" s="32"/>
      <c r="F29" s="33"/>
      <c r="G29" s="32">
        <v>86.247461999999999</v>
      </c>
      <c r="H29" s="34">
        <v>3.6388929999999999</v>
      </c>
      <c r="I29" s="34">
        <v>0.19889299999999999</v>
      </c>
      <c r="J29" s="34">
        <v>3.44</v>
      </c>
      <c r="K29" s="32">
        <v>4.9000000000000004</v>
      </c>
      <c r="L29" s="32" t="s">
        <v>28</v>
      </c>
      <c r="M29" s="32"/>
      <c r="N29" s="35">
        <v>11.93862571012</v>
      </c>
      <c r="O29" s="35">
        <v>0.6525361101199999</v>
      </c>
      <c r="P29" s="35">
        <v>11.2860896</v>
      </c>
      <c r="Q29" s="35">
        <v>928.35905622179996</v>
      </c>
      <c r="R29" s="32" t="s">
        <v>258</v>
      </c>
      <c r="S29" s="32" t="s">
        <v>147</v>
      </c>
      <c r="T29" s="38"/>
      <c r="U29" s="44">
        <v>99594.359551474699</v>
      </c>
      <c r="V29" s="32">
        <v>2006</v>
      </c>
      <c r="W29" s="32"/>
      <c r="X29" s="32" t="s">
        <v>8</v>
      </c>
      <c r="Y29" s="32" t="s">
        <v>28</v>
      </c>
      <c r="Z29" s="32" t="s">
        <v>5</v>
      </c>
      <c r="AA29" s="34">
        <v>928.35905622179996</v>
      </c>
      <c r="AB29" s="32">
        <v>1</v>
      </c>
      <c r="AC29" s="36">
        <v>1</v>
      </c>
      <c r="AD29" s="32">
        <v>107.28</v>
      </c>
      <c r="AE29" s="32">
        <v>2006</v>
      </c>
      <c r="AF29" s="32" t="s">
        <v>252</v>
      </c>
      <c r="AG29" s="32">
        <v>0</v>
      </c>
      <c r="AH29" s="37"/>
      <c r="AI29" s="32" t="s">
        <v>161</v>
      </c>
      <c r="AJ29" s="32" t="s">
        <v>149</v>
      </c>
    </row>
    <row r="30" spans="1:36" x14ac:dyDescent="0.25">
      <c r="A30" s="32">
        <v>100</v>
      </c>
      <c r="B30" s="32" t="s">
        <v>308</v>
      </c>
      <c r="C30" s="32">
        <v>1</v>
      </c>
      <c r="D30" s="32" t="s">
        <v>173</v>
      </c>
      <c r="E30" s="32"/>
      <c r="F30" s="33"/>
      <c r="G30" s="32">
        <v>1065.6370549999999</v>
      </c>
      <c r="H30" s="34">
        <v>3.922215</v>
      </c>
      <c r="I30" s="34">
        <v>0.46221499999999999</v>
      </c>
      <c r="J30" s="34">
        <v>3.46</v>
      </c>
      <c r="K30" s="32">
        <v>1.62</v>
      </c>
      <c r="L30" s="32" t="s">
        <v>28</v>
      </c>
      <c r="M30" s="32"/>
      <c r="N30" s="35">
        <v>12.8681598606</v>
      </c>
      <c r="O30" s="35">
        <v>1.5164534606</v>
      </c>
      <c r="P30" s="35">
        <v>11.351706399999999</v>
      </c>
      <c r="Q30" s="35">
        <v>11470.410696314499</v>
      </c>
      <c r="R30" s="32" t="s">
        <v>259</v>
      </c>
      <c r="S30" s="32" t="s">
        <v>147</v>
      </c>
      <c r="T30" s="38"/>
      <c r="U30" s="44">
        <v>1230545.6595006194</v>
      </c>
      <c r="V30" s="32">
        <v>2006</v>
      </c>
      <c r="W30" s="32"/>
      <c r="X30" s="32" t="s">
        <v>8</v>
      </c>
      <c r="Y30" s="32" t="s">
        <v>33</v>
      </c>
      <c r="Z30" s="32" t="s">
        <v>5</v>
      </c>
      <c r="AA30" s="34">
        <v>11470.410696314499</v>
      </c>
      <c r="AB30" s="32">
        <v>1</v>
      </c>
      <c r="AC30" s="36">
        <v>1</v>
      </c>
      <c r="AD30" s="32">
        <v>107.28</v>
      </c>
      <c r="AE30" s="32">
        <v>2006</v>
      </c>
      <c r="AF30" s="32" t="s">
        <v>252</v>
      </c>
      <c r="AG30" s="32">
        <v>0</v>
      </c>
      <c r="AH30" s="37" t="s">
        <v>174</v>
      </c>
      <c r="AI30" s="32" t="s">
        <v>175</v>
      </c>
      <c r="AJ30" s="32" t="s">
        <v>149</v>
      </c>
    </row>
    <row r="31" spans="1:36" x14ac:dyDescent="0.25">
      <c r="A31" s="32">
        <v>100</v>
      </c>
      <c r="B31" s="32" t="s">
        <v>308</v>
      </c>
      <c r="C31" s="32">
        <v>1</v>
      </c>
      <c r="D31" s="32" t="s">
        <v>176</v>
      </c>
      <c r="E31" s="32"/>
      <c r="F31" s="33"/>
      <c r="G31" s="32">
        <v>255.32940099999999</v>
      </c>
      <c r="H31" s="34">
        <v>2.9234650000000002</v>
      </c>
      <c r="I31" s="34">
        <v>0.36503999999999998</v>
      </c>
      <c r="J31" s="34">
        <v>2.558424</v>
      </c>
      <c r="K31" s="32">
        <v>1.62</v>
      </c>
      <c r="L31" s="32" t="s">
        <v>28</v>
      </c>
      <c r="M31" s="32"/>
      <c r="N31" s="35">
        <v>9.5914209106000001</v>
      </c>
      <c r="O31" s="35">
        <v>1.1976378336</v>
      </c>
      <c r="P31" s="35">
        <v>8.3937797961600005</v>
      </c>
      <c r="Q31" s="35">
        <v>2748.3401394238999</v>
      </c>
      <c r="R31" s="32" t="s">
        <v>177</v>
      </c>
      <c r="S31" s="32" t="s">
        <v>178</v>
      </c>
      <c r="T31" s="38">
        <v>96660</v>
      </c>
      <c r="U31" s="38">
        <v>495525.72713812918</v>
      </c>
      <c r="V31" s="32">
        <v>2006</v>
      </c>
      <c r="W31" s="32">
        <v>1940</v>
      </c>
      <c r="X31" s="32" t="s">
        <v>0</v>
      </c>
      <c r="Y31" s="32" t="s">
        <v>28</v>
      </c>
      <c r="Z31" s="32" t="s">
        <v>3</v>
      </c>
      <c r="AA31" s="39">
        <v>2988</v>
      </c>
      <c r="AB31" s="32">
        <v>2</v>
      </c>
      <c r="AC31" s="36">
        <v>4</v>
      </c>
      <c r="AD31" s="32">
        <v>90.15</v>
      </c>
      <c r="AE31" s="32">
        <v>2006</v>
      </c>
      <c r="AF31" s="32"/>
      <c r="AG31" s="32">
        <v>2.82</v>
      </c>
      <c r="AH31" s="37" t="s">
        <v>179</v>
      </c>
      <c r="AI31" s="32" t="s">
        <v>180</v>
      </c>
      <c r="AJ31" s="32" t="s">
        <v>181</v>
      </c>
    </row>
    <row r="32" spans="1:36" x14ac:dyDescent="0.25">
      <c r="A32" s="32">
        <v>100</v>
      </c>
      <c r="B32" s="32" t="s">
        <v>308</v>
      </c>
      <c r="C32" s="32">
        <v>1</v>
      </c>
      <c r="D32" s="32" t="s">
        <v>182</v>
      </c>
      <c r="E32" s="32"/>
      <c r="F32" s="33"/>
      <c r="G32" s="32">
        <v>183.48451399999999</v>
      </c>
      <c r="H32" s="34">
        <v>3.9740000000000002</v>
      </c>
      <c r="I32" s="34">
        <v>0.70399999999999996</v>
      </c>
      <c r="J32" s="34">
        <v>3.27</v>
      </c>
      <c r="K32" s="32">
        <v>4.9000000000000004</v>
      </c>
      <c r="L32" s="32" t="s">
        <v>28</v>
      </c>
      <c r="M32" s="32"/>
      <c r="N32" s="35">
        <v>13.03805816</v>
      </c>
      <c r="O32" s="35">
        <v>2.3097113599999997</v>
      </c>
      <c r="P32" s="35">
        <v>10.728346800000001</v>
      </c>
      <c r="Q32" s="35">
        <v>1975.0089602445998</v>
      </c>
      <c r="R32" s="32" t="s">
        <v>170</v>
      </c>
      <c r="S32" s="32" t="s">
        <v>156</v>
      </c>
      <c r="T32" s="38"/>
      <c r="U32" s="44">
        <v>534141.17329815205</v>
      </c>
      <c r="V32" s="32">
        <v>2006</v>
      </c>
      <c r="W32" s="32">
        <v>1938</v>
      </c>
      <c r="X32" s="32" t="s">
        <v>0</v>
      </c>
      <c r="Y32" s="32" t="s">
        <v>28</v>
      </c>
      <c r="Z32" s="32" t="s">
        <v>3</v>
      </c>
      <c r="AA32" s="34">
        <v>5925.0268807337998</v>
      </c>
      <c r="AB32" s="32">
        <v>3</v>
      </c>
      <c r="AC32" s="36">
        <v>4</v>
      </c>
      <c r="AD32" s="32">
        <v>90.15</v>
      </c>
      <c r="AE32" s="32">
        <v>2006</v>
      </c>
      <c r="AF32" s="32"/>
      <c r="AG32" s="32">
        <v>2.82</v>
      </c>
      <c r="AH32" s="37" t="s">
        <v>183</v>
      </c>
      <c r="AI32" s="32" t="s">
        <v>184</v>
      </c>
      <c r="AJ32" s="32" t="s">
        <v>159</v>
      </c>
    </row>
    <row r="33" spans="1:36" x14ac:dyDescent="0.25">
      <c r="A33" s="32">
        <v>100</v>
      </c>
      <c r="B33" s="32" t="s">
        <v>308</v>
      </c>
      <c r="C33" s="32">
        <v>1</v>
      </c>
      <c r="D33" s="32" t="s">
        <v>185</v>
      </c>
      <c r="E33" s="32"/>
      <c r="F33" s="33"/>
      <c r="G33" s="32">
        <v>478.52189700000002</v>
      </c>
      <c r="H33" s="34">
        <v>3.8940000000000001</v>
      </c>
      <c r="I33" s="34">
        <v>3.8839999999999999</v>
      </c>
      <c r="J33" s="34">
        <v>0.01</v>
      </c>
      <c r="K33" s="32">
        <v>1.62</v>
      </c>
      <c r="L33" s="32" t="s">
        <v>28</v>
      </c>
      <c r="M33" s="32"/>
      <c r="N33" s="35">
        <v>12.775590960000001</v>
      </c>
      <c r="O33" s="35">
        <v>12.74278256</v>
      </c>
      <c r="P33" s="35">
        <v>3.2808400000000001E-2</v>
      </c>
      <c r="Q33" s="35">
        <v>5150.7618471183005</v>
      </c>
      <c r="R33" s="32" t="s">
        <v>259</v>
      </c>
      <c r="S33" s="32" t="s">
        <v>147</v>
      </c>
      <c r="T33" s="38"/>
      <c r="U33" s="44">
        <v>878256.40255214134</v>
      </c>
      <c r="V33" s="32">
        <v>2006</v>
      </c>
      <c r="W33" s="32"/>
      <c r="X33" s="32" t="s">
        <v>125</v>
      </c>
      <c r="Y33" s="32" t="s">
        <v>33</v>
      </c>
      <c r="Z33" s="32" t="s">
        <v>5</v>
      </c>
      <c r="AA33" s="34">
        <v>5150.7618471183005</v>
      </c>
      <c r="AB33" s="32">
        <v>1</v>
      </c>
      <c r="AC33" s="36">
        <v>1</v>
      </c>
      <c r="AD33" s="32">
        <v>170.51</v>
      </c>
      <c r="AE33" s="32">
        <v>2006</v>
      </c>
      <c r="AF33" s="32" t="s">
        <v>256</v>
      </c>
      <c r="AG33" s="32">
        <v>0</v>
      </c>
      <c r="AH33" s="37" t="s">
        <v>153</v>
      </c>
      <c r="AI33" s="32" t="s">
        <v>163</v>
      </c>
      <c r="AJ33" s="32" t="s">
        <v>149</v>
      </c>
    </row>
    <row r="34" spans="1:36" x14ac:dyDescent="0.25">
      <c r="A34" s="32">
        <v>100</v>
      </c>
      <c r="B34" s="32" t="s">
        <v>308</v>
      </c>
      <c r="C34" s="32">
        <v>1</v>
      </c>
      <c r="D34" s="32" t="s">
        <v>186</v>
      </c>
      <c r="E34" s="32"/>
      <c r="F34" s="33"/>
      <c r="G34" s="32">
        <v>77.087877000000006</v>
      </c>
      <c r="H34" s="34">
        <v>3.9585509999999999</v>
      </c>
      <c r="I34" s="34">
        <v>0.68855100000000002</v>
      </c>
      <c r="J34" s="34">
        <v>3.27</v>
      </c>
      <c r="K34" s="32">
        <v>4.9000000000000004</v>
      </c>
      <c r="L34" s="32" t="s">
        <v>28</v>
      </c>
      <c r="M34" s="32"/>
      <c r="N34" s="35">
        <v>12.98737246284</v>
      </c>
      <c r="O34" s="35">
        <v>2.2590256628400001</v>
      </c>
      <c r="P34" s="35">
        <v>10.728346800000001</v>
      </c>
      <c r="Q34" s="35">
        <v>829.76619924030001</v>
      </c>
      <c r="R34" s="32" t="s">
        <v>187</v>
      </c>
      <c r="S34" s="32" t="s">
        <v>156</v>
      </c>
      <c r="T34" s="38">
        <v>0</v>
      </c>
      <c r="U34" s="38">
        <v>0</v>
      </c>
      <c r="V34" s="32">
        <v>2020</v>
      </c>
      <c r="W34" s="32"/>
      <c r="X34" s="32" t="s">
        <v>238</v>
      </c>
      <c r="Y34" s="32" t="s">
        <v>33</v>
      </c>
      <c r="Z34" s="32" t="s">
        <v>5</v>
      </c>
      <c r="AA34" s="34">
        <v>829.76619924030001</v>
      </c>
      <c r="AB34" s="32">
        <v>0</v>
      </c>
      <c r="AC34" s="36">
        <v>1</v>
      </c>
      <c r="AD34" s="32">
        <v>0</v>
      </c>
      <c r="AE34" s="32"/>
      <c r="AF34" s="32"/>
      <c r="AG34" s="32">
        <v>0</v>
      </c>
      <c r="AH34" s="37"/>
      <c r="AI34" s="32" t="s">
        <v>188</v>
      </c>
      <c r="AJ34" s="32" t="s">
        <v>159</v>
      </c>
    </row>
    <row r="35" spans="1:36" x14ac:dyDescent="0.25">
      <c r="A35" s="32">
        <v>100</v>
      </c>
      <c r="B35" s="32" t="s">
        <v>308</v>
      </c>
      <c r="C35" s="32">
        <v>1</v>
      </c>
      <c r="D35" s="32" t="s">
        <v>189</v>
      </c>
      <c r="E35" s="32"/>
      <c r="F35" s="33"/>
      <c r="G35" s="32">
        <v>52.268340000000002</v>
      </c>
      <c r="H35" s="34">
        <v>3.463098</v>
      </c>
      <c r="I35" s="34">
        <v>3.4330980000000002</v>
      </c>
      <c r="J35" s="34">
        <v>0.03</v>
      </c>
      <c r="K35" s="32">
        <v>4.9000000000000004</v>
      </c>
      <c r="L35" s="32" t="s">
        <v>28</v>
      </c>
      <c r="M35" s="32"/>
      <c r="N35" s="35">
        <v>11.361870442320001</v>
      </c>
      <c r="O35" s="35">
        <v>11.263445242320001</v>
      </c>
      <c r="P35" s="35">
        <v>9.842519999999999E-2</v>
      </c>
      <c r="Q35" s="35">
        <v>562.61118492599996</v>
      </c>
      <c r="R35" s="32" t="s">
        <v>187</v>
      </c>
      <c r="S35" s="32" t="s">
        <v>190</v>
      </c>
      <c r="T35" s="38">
        <v>0</v>
      </c>
      <c r="U35" s="38">
        <v>0</v>
      </c>
      <c r="V35" s="32">
        <v>2020</v>
      </c>
      <c r="W35" s="32"/>
      <c r="X35" s="32" t="s">
        <v>238</v>
      </c>
      <c r="Y35" s="32" t="s">
        <v>28</v>
      </c>
      <c r="Z35" s="32" t="s">
        <v>5</v>
      </c>
      <c r="AA35" s="34">
        <v>562.61118492599996</v>
      </c>
      <c r="AB35" s="32">
        <v>0</v>
      </c>
      <c r="AC35" s="36">
        <v>1</v>
      </c>
      <c r="AD35" s="32">
        <v>0</v>
      </c>
      <c r="AE35" s="32"/>
      <c r="AF35" s="32"/>
      <c r="AG35" s="32">
        <v>0</v>
      </c>
      <c r="AH35" s="37"/>
      <c r="AI35" s="32" t="s">
        <v>191</v>
      </c>
      <c r="AJ35" s="32" t="s">
        <v>149</v>
      </c>
    </row>
    <row r="36" spans="1:36" x14ac:dyDescent="0.25">
      <c r="A36" s="32">
        <v>100</v>
      </c>
      <c r="B36" s="32" t="s">
        <v>308</v>
      </c>
      <c r="C36" s="32">
        <v>1</v>
      </c>
      <c r="D36" s="32" t="s">
        <v>192</v>
      </c>
      <c r="E36" s="32"/>
      <c r="F36" s="33"/>
      <c r="G36" s="32">
        <v>28.854679000000001</v>
      </c>
      <c r="H36" s="34">
        <v>3.5439970000000001</v>
      </c>
      <c r="I36" s="34">
        <v>3.5139960000000001</v>
      </c>
      <c r="J36" s="34">
        <v>0.03</v>
      </c>
      <c r="K36" s="32">
        <v>4.9000000000000004</v>
      </c>
      <c r="L36" s="32" t="s">
        <v>28</v>
      </c>
      <c r="M36" s="32"/>
      <c r="N36" s="35">
        <v>11.62728711748</v>
      </c>
      <c r="O36" s="35">
        <v>11.528858636640001</v>
      </c>
      <c r="P36" s="35">
        <v>9.842519999999999E-2</v>
      </c>
      <c r="Q36" s="35">
        <v>310.58887928809997</v>
      </c>
      <c r="R36" s="32" t="s">
        <v>187</v>
      </c>
      <c r="S36" s="32" t="s">
        <v>147</v>
      </c>
      <c r="T36" s="38">
        <v>0</v>
      </c>
      <c r="U36" s="38">
        <v>0</v>
      </c>
      <c r="V36" s="32">
        <v>2020</v>
      </c>
      <c r="W36" s="32"/>
      <c r="X36" s="32" t="s">
        <v>238</v>
      </c>
      <c r="Y36" s="32" t="s">
        <v>28</v>
      </c>
      <c r="Z36" s="32" t="s">
        <v>5</v>
      </c>
      <c r="AA36" s="34">
        <v>310.58887928809997</v>
      </c>
      <c r="AB36" s="32">
        <v>0</v>
      </c>
      <c r="AC36" s="36">
        <v>1</v>
      </c>
      <c r="AD36" s="32">
        <v>0</v>
      </c>
      <c r="AE36" s="32"/>
      <c r="AF36" s="32"/>
      <c r="AG36" s="32">
        <v>0</v>
      </c>
      <c r="AH36" s="37"/>
      <c r="AI36" s="32" t="s">
        <v>191</v>
      </c>
      <c r="AJ36" s="32" t="s">
        <v>149</v>
      </c>
    </row>
    <row r="37" spans="1:36" x14ac:dyDescent="0.25">
      <c r="A37" s="32">
        <v>100</v>
      </c>
      <c r="B37" s="32" t="s">
        <v>308</v>
      </c>
      <c r="C37" s="32">
        <v>1</v>
      </c>
      <c r="D37" s="32" t="s">
        <v>145</v>
      </c>
      <c r="E37" s="32"/>
      <c r="F37" s="33"/>
      <c r="G37" s="32">
        <v>6.9797969999999996</v>
      </c>
      <c r="H37" s="34">
        <v>3.6934969999999998</v>
      </c>
      <c r="I37" s="34">
        <v>3.6734969999999998</v>
      </c>
      <c r="J37" s="34">
        <v>0.02</v>
      </c>
      <c r="K37" s="32">
        <v>1.62</v>
      </c>
      <c r="L37" s="32" t="s">
        <v>28</v>
      </c>
      <c r="M37" s="32"/>
      <c r="N37" s="35">
        <v>12.11777269748</v>
      </c>
      <c r="O37" s="35">
        <v>12.052155897479999</v>
      </c>
      <c r="P37" s="35">
        <v>6.5616800000000003E-2</v>
      </c>
      <c r="Q37" s="35">
        <v>75.129836928299994</v>
      </c>
      <c r="R37" s="32" t="s">
        <v>187</v>
      </c>
      <c r="S37" s="32" t="s">
        <v>147</v>
      </c>
      <c r="T37" s="38">
        <v>0</v>
      </c>
      <c r="U37" s="38">
        <v>0</v>
      </c>
      <c r="V37" s="32">
        <v>2020</v>
      </c>
      <c r="W37" s="32"/>
      <c r="X37" s="32" t="s">
        <v>238</v>
      </c>
      <c r="Y37" s="32" t="s">
        <v>28</v>
      </c>
      <c r="Z37" s="32" t="s">
        <v>5</v>
      </c>
      <c r="AA37" s="34">
        <v>75.129836928299994</v>
      </c>
      <c r="AB37" s="32">
        <v>0</v>
      </c>
      <c r="AC37" s="36">
        <v>1</v>
      </c>
      <c r="AD37" s="32">
        <v>0</v>
      </c>
      <c r="AE37" s="32"/>
      <c r="AF37" s="32"/>
      <c r="AG37" s="32">
        <v>0</v>
      </c>
      <c r="AH37" s="37"/>
      <c r="AI37" s="32" t="s">
        <v>148</v>
      </c>
      <c r="AJ37" s="32" t="s">
        <v>149</v>
      </c>
    </row>
    <row r="38" spans="1:36" x14ac:dyDescent="0.25">
      <c r="A38" s="32">
        <v>100</v>
      </c>
      <c r="B38" s="32" t="s">
        <v>308</v>
      </c>
      <c r="C38" s="32">
        <v>1</v>
      </c>
      <c r="D38" s="32" t="s">
        <v>150</v>
      </c>
      <c r="E38" s="32"/>
      <c r="F38" s="33"/>
      <c r="G38" s="32">
        <v>46.485855000000001</v>
      </c>
      <c r="H38" s="34">
        <v>3.7066249999999998</v>
      </c>
      <c r="I38" s="34">
        <v>3.6866240000000001</v>
      </c>
      <c r="J38" s="34">
        <v>0.02</v>
      </c>
      <c r="K38" s="32">
        <v>1.62</v>
      </c>
      <c r="L38" s="32" t="s">
        <v>28</v>
      </c>
      <c r="M38" s="32"/>
      <c r="N38" s="35">
        <v>12.160843564999999</v>
      </c>
      <c r="O38" s="35">
        <v>12.09522348416</v>
      </c>
      <c r="P38" s="35">
        <v>6.5616800000000003E-2</v>
      </c>
      <c r="Q38" s="35">
        <v>500.36909463450002</v>
      </c>
      <c r="R38" s="32" t="s">
        <v>187</v>
      </c>
      <c r="S38" s="32" t="s">
        <v>151</v>
      </c>
      <c r="T38" s="38">
        <v>0</v>
      </c>
      <c r="U38" s="38">
        <v>0</v>
      </c>
      <c r="V38" s="32">
        <v>2020</v>
      </c>
      <c r="W38" s="32"/>
      <c r="X38" s="32" t="s">
        <v>238</v>
      </c>
      <c r="Y38" s="32" t="s">
        <v>33</v>
      </c>
      <c r="Z38" s="32" t="s">
        <v>5</v>
      </c>
      <c r="AA38" s="34">
        <v>500.36909463450002</v>
      </c>
      <c r="AB38" s="32">
        <v>0</v>
      </c>
      <c r="AC38" s="36">
        <v>1</v>
      </c>
      <c r="AD38" s="32">
        <v>0</v>
      </c>
      <c r="AE38" s="32"/>
      <c r="AF38" s="32"/>
      <c r="AG38" s="32">
        <v>0</v>
      </c>
      <c r="AH38" s="37"/>
      <c r="AI38" s="32" t="s">
        <v>254</v>
      </c>
      <c r="AJ38" s="32" t="s">
        <v>149</v>
      </c>
    </row>
    <row r="39" spans="1:36" x14ac:dyDescent="0.25">
      <c r="A39" s="32">
        <v>100</v>
      </c>
      <c r="B39" s="32" t="s">
        <v>308</v>
      </c>
      <c r="C39" s="32">
        <v>1</v>
      </c>
      <c r="D39" s="32" t="s">
        <v>152</v>
      </c>
      <c r="E39" s="32"/>
      <c r="F39" s="33"/>
      <c r="G39" s="32">
        <v>15.134173000000001</v>
      </c>
      <c r="H39" s="34">
        <v>3.5037910000000001</v>
      </c>
      <c r="I39" s="34">
        <v>3.4937909999999999</v>
      </c>
      <c r="J39" s="34">
        <v>0.01</v>
      </c>
      <c r="K39" s="32">
        <v>1.62</v>
      </c>
      <c r="L39" s="32" t="s">
        <v>28</v>
      </c>
      <c r="M39" s="32"/>
      <c r="N39" s="35">
        <v>11.495377664439999</v>
      </c>
      <c r="O39" s="35">
        <v>11.462569264439999</v>
      </c>
      <c r="P39" s="35">
        <v>3.2808400000000001E-2</v>
      </c>
      <c r="Q39" s="35">
        <v>162.90272475469999</v>
      </c>
      <c r="R39" s="32" t="s">
        <v>255</v>
      </c>
      <c r="S39" s="32" t="s">
        <v>151</v>
      </c>
      <c r="T39" s="38"/>
      <c r="U39" s="44">
        <v>27776.543597923894</v>
      </c>
      <c r="V39" s="32">
        <v>2006</v>
      </c>
      <c r="W39" s="32"/>
      <c r="X39" s="32" t="s">
        <v>125</v>
      </c>
      <c r="Y39" s="32" t="s">
        <v>33</v>
      </c>
      <c r="Z39" s="32" t="s">
        <v>5</v>
      </c>
      <c r="AA39" s="34">
        <v>162.90272475469999</v>
      </c>
      <c r="AB39" s="32">
        <v>1</v>
      </c>
      <c r="AC39" s="36">
        <v>1</v>
      </c>
      <c r="AD39" s="32">
        <v>170.51</v>
      </c>
      <c r="AE39" s="32">
        <v>2006</v>
      </c>
      <c r="AF39" s="32" t="s">
        <v>256</v>
      </c>
      <c r="AG39" s="32">
        <v>0</v>
      </c>
      <c r="AH39" s="37" t="s">
        <v>153</v>
      </c>
      <c r="AI39" s="32" t="s">
        <v>154</v>
      </c>
      <c r="AJ39" s="32" t="s">
        <v>149</v>
      </c>
    </row>
    <row r="40" spans="1:36" x14ac:dyDescent="0.25">
      <c r="A40" s="32">
        <v>100</v>
      </c>
      <c r="B40" s="32" t="s">
        <v>303</v>
      </c>
      <c r="C40" s="32">
        <v>1</v>
      </c>
      <c r="D40" s="32" t="s">
        <v>193</v>
      </c>
      <c r="E40" s="32"/>
      <c r="F40" s="33"/>
      <c r="G40" s="32">
        <v>241.395444</v>
      </c>
      <c r="H40" s="34">
        <v>3.5418639999999999</v>
      </c>
      <c r="I40" s="34">
        <v>1.9618640000000001</v>
      </c>
      <c r="J40" s="34">
        <v>1.58</v>
      </c>
      <c r="K40" s="32">
        <v>5.125</v>
      </c>
      <c r="L40" s="32" t="s">
        <v>28</v>
      </c>
      <c r="M40" s="32"/>
      <c r="N40" s="35">
        <v>11.62028908576</v>
      </c>
      <c r="O40" s="35">
        <v>6.4365618857599998</v>
      </c>
      <c r="P40" s="35">
        <v>5.1837271999999999</v>
      </c>
      <c r="Q40" s="35">
        <v>2598.3564196715997</v>
      </c>
      <c r="R40" s="32" t="s">
        <v>177</v>
      </c>
      <c r="S40" s="32" t="s">
        <v>194</v>
      </c>
      <c r="T40" s="38">
        <v>924900</v>
      </c>
      <c r="U40" s="38"/>
      <c r="V40" s="32">
        <v>2020</v>
      </c>
      <c r="W40" s="32">
        <v>2006</v>
      </c>
      <c r="X40" s="32" t="s">
        <v>0</v>
      </c>
      <c r="Y40" s="32" t="s">
        <v>28</v>
      </c>
      <c r="Z40" s="32" t="s">
        <v>5</v>
      </c>
      <c r="AA40" s="39">
        <v>4785</v>
      </c>
      <c r="AB40" s="32">
        <v>3</v>
      </c>
      <c r="AC40" s="36">
        <v>1</v>
      </c>
      <c r="AD40" s="32">
        <v>90.15</v>
      </c>
      <c r="AE40" s="32">
        <v>2006</v>
      </c>
      <c r="AF40" s="32"/>
      <c r="AG40" s="32">
        <v>2.66</v>
      </c>
      <c r="AH40" s="37" t="s">
        <v>195</v>
      </c>
      <c r="AI40" s="32" t="s">
        <v>196</v>
      </c>
      <c r="AJ40" s="32" t="s">
        <v>197</v>
      </c>
    </row>
    <row r="41" spans="1:36" x14ac:dyDescent="0.25">
      <c r="A41" s="32">
        <v>100</v>
      </c>
      <c r="B41" s="32" t="s">
        <v>303</v>
      </c>
      <c r="C41" s="32">
        <v>1</v>
      </c>
      <c r="D41" s="32" t="s">
        <v>198</v>
      </c>
      <c r="E41" s="32"/>
      <c r="F41" s="33"/>
      <c r="G41" s="32">
        <v>502.45007199999998</v>
      </c>
      <c r="H41" s="34">
        <v>3.3637679999999999</v>
      </c>
      <c r="I41" s="34">
        <v>1.783768</v>
      </c>
      <c r="J41" s="34">
        <v>1.58</v>
      </c>
      <c r="K41" s="32">
        <v>5.125</v>
      </c>
      <c r="L41" s="32" t="s">
        <v>28</v>
      </c>
      <c r="M41" s="32"/>
      <c r="N41" s="35">
        <v>11.035984605119999</v>
      </c>
      <c r="O41" s="35">
        <v>5.8522574051199996</v>
      </c>
      <c r="P41" s="35">
        <v>5.1837271999999999</v>
      </c>
      <c r="Q41" s="35">
        <v>5408.3223300007994</v>
      </c>
      <c r="R41" s="32" t="s">
        <v>177</v>
      </c>
      <c r="S41" s="32"/>
      <c r="T41" s="38">
        <v>1584000</v>
      </c>
      <c r="U41" s="38"/>
      <c r="V41" s="32">
        <v>2020</v>
      </c>
      <c r="W41" s="32">
        <v>2002</v>
      </c>
      <c r="X41" s="32" t="s">
        <v>0</v>
      </c>
      <c r="Y41" s="32" t="s">
        <v>28</v>
      </c>
      <c r="Z41" s="32" t="s">
        <v>5</v>
      </c>
      <c r="AA41" s="39">
        <v>6600</v>
      </c>
      <c r="AB41" s="32">
        <v>3</v>
      </c>
      <c r="AC41" s="36">
        <v>1</v>
      </c>
      <c r="AD41" s="32">
        <v>90.15</v>
      </c>
      <c r="AE41" s="32">
        <v>2006</v>
      </c>
      <c r="AF41" s="32"/>
      <c r="AG41" s="32">
        <v>2.66</v>
      </c>
      <c r="AH41" s="37" t="s">
        <v>199</v>
      </c>
      <c r="AI41" s="32" t="s">
        <v>200</v>
      </c>
      <c r="AJ41" s="32" t="s">
        <v>201</v>
      </c>
    </row>
    <row r="42" spans="1:36" x14ac:dyDescent="0.25">
      <c r="A42" s="32">
        <v>100</v>
      </c>
      <c r="B42" s="32" t="s">
        <v>303</v>
      </c>
      <c r="C42" s="32">
        <v>1</v>
      </c>
      <c r="D42" s="32" t="s">
        <v>202</v>
      </c>
      <c r="E42" s="32"/>
      <c r="F42" s="33"/>
      <c r="G42" s="32">
        <v>351.69295</v>
      </c>
      <c r="H42" s="34">
        <v>3.7339370000000001</v>
      </c>
      <c r="I42" s="34">
        <v>2.153937</v>
      </c>
      <c r="J42" s="34">
        <v>1.58</v>
      </c>
      <c r="K42" s="32">
        <v>5.125</v>
      </c>
      <c r="L42" s="32" t="s">
        <v>28</v>
      </c>
      <c r="M42" s="32"/>
      <c r="N42" s="35">
        <v>12.25044986708</v>
      </c>
      <c r="O42" s="35">
        <v>7.0667226670799996</v>
      </c>
      <c r="P42" s="35">
        <v>5.1837271999999999</v>
      </c>
      <c r="Q42" s="35">
        <v>3785.5877445049996</v>
      </c>
      <c r="R42" s="32" t="s">
        <v>177</v>
      </c>
      <c r="S42" s="32"/>
      <c r="T42" s="38">
        <v>1138300</v>
      </c>
      <c r="U42" s="38"/>
      <c r="V42" s="32">
        <v>2020</v>
      </c>
      <c r="W42" s="32">
        <v>2014</v>
      </c>
      <c r="X42" s="32" t="s">
        <v>0</v>
      </c>
      <c r="Y42" s="32" t="s">
        <v>28</v>
      </c>
      <c r="Z42" s="32" t="s">
        <v>203</v>
      </c>
      <c r="AA42" s="39">
        <v>5866</v>
      </c>
      <c r="AB42" s="32">
        <v>3</v>
      </c>
      <c r="AC42" s="41">
        <v>9</v>
      </c>
      <c r="AD42" s="32">
        <v>90.15</v>
      </c>
      <c r="AE42" s="32">
        <v>2006</v>
      </c>
      <c r="AF42" s="32"/>
      <c r="AG42" s="32">
        <v>2.66</v>
      </c>
      <c r="AH42" s="37" t="s">
        <v>204</v>
      </c>
      <c r="AI42" s="32" t="s">
        <v>200</v>
      </c>
      <c r="AJ42" s="32" t="s">
        <v>205</v>
      </c>
    </row>
    <row r="43" spans="1:36" x14ac:dyDescent="0.25">
      <c r="A43" s="32">
        <v>100</v>
      </c>
      <c r="B43" s="32" t="s">
        <v>303</v>
      </c>
      <c r="C43" s="32">
        <v>1</v>
      </c>
      <c r="D43" s="32" t="s">
        <v>206</v>
      </c>
      <c r="E43" s="32">
        <v>2</v>
      </c>
      <c r="F43" s="33"/>
      <c r="G43" s="32">
        <v>705.56894699999998</v>
      </c>
      <c r="H43" s="34">
        <v>3.5919560000000001</v>
      </c>
      <c r="I43" s="34">
        <v>2.0119560000000001</v>
      </c>
      <c r="J43" s="34">
        <v>1.58</v>
      </c>
      <c r="K43" s="32">
        <v>4.7</v>
      </c>
      <c r="L43" s="32" t="s">
        <v>207</v>
      </c>
      <c r="M43" s="32"/>
      <c r="N43" s="35">
        <v>11.78463292304</v>
      </c>
      <c r="O43" s="35">
        <v>6.6009057230400003</v>
      </c>
      <c r="P43" s="35">
        <v>5.1837271999999999</v>
      </c>
      <c r="Q43" s="35">
        <v>7594.6735886132992</v>
      </c>
      <c r="R43" s="32" t="s">
        <v>208</v>
      </c>
      <c r="S43" s="32" t="s">
        <v>209</v>
      </c>
      <c r="T43" s="38">
        <v>4167800</v>
      </c>
      <c r="U43" s="38"/>
      <c r="V43" s="32">
        <v>2020</v>
      </c>
      <c r="W43" s="32"/>
      <c r="X43" s="32" t="s">
        <v>125</v>
      </c>
      <c r="Y43" s="32" t="s">
        <v>33</v>
      </c>
      <c r="Z43" s="32" t="s">
        <v>5</v>
      </c>
      <c r="AA43" s="39">
        <v>10302</v>
      </c>
      <c r="AB43" s="32">
        <v>2</v>
      </c>
      <c r="AC43" s="36">
        <v>1</v>
      </c>
      <c r="AD43" s="32">
        <v>170.51</v>
      </c>
      <c r="AE43" s="32">
        <v>2006</v>
      </c>
      <c r="AF43" s="32" t="s">
        <v>256</v>
      </c>
      <c r="AG43" s="32">
        <v>0</v>
      </c>
      <c r="AH43" s="37" t="s">
        <v>210</v>
      </c>
      <c r="AI43" s="32" t="s">
        <v>211</v>
      </c>
      <c r="AJ43" s="32" t="s">
        <v>212</v>
      </c>
    </row>
    <row r="44" spans="1:36" x14ac:dyDescent="0.25">
      <c r="A44" s="32">
        <v>100</v>
      </c>
      <c r="B44" s="32" t="s">
        <v>303</v>
      </c>
      <c r="C44" s="32">
        <v>1</v>
      </c>
      <c r="D44" s="32" t="s">
        <v>213</v>
      </c>
      <c r="E44" s="32"/>
      <c r="F44" s="33"/>
      <c r="G44" s="32">
        <v>269.944794</v>
      </c>
      <c r="H44" s="34">
        <v>3.2629450000000002</v>
      </c>
      <c r="I44" s="34">
        <v>1.6829449999999999</v>
      </c>
      <c r="J44" s="34">
        <v>1.58</v>
      </c>
      <c r="K44" s="32">
        <v>5.125</v>
      </c>
      <c r="L44" s="32" t="s">
        <v>28</v>
      </c>
      <c r="M44" s="32"/>
      <c r="N44" s="35">
        <v>10.7052004738</v>
      </c>
      <c r="O44" s="35">
        <v>5.5214732737999999</v>
      </c>
      <c r="P44" s="35">
        <v>5.1837271999999999</v>
      </c>
      <c r="Q44" s="35">
        <v>2905.6587681366</v>
      </c>
      <c r="R44" s="32" t="s">
        <v>177</v>
      </c>
      <c r="S44" s="32" t="s">
        <v>214</v>
      </c>
      <c r="T44" s="38">
        <v>121000</v>
      </c>
      <c r="U44" s="38"/>
      <c r="V44" s="32">
        <v>2020</v>
      </c>
      <c r="W44" s="32">
        <v>1905</v>
      </c>
      <c r="X44" s="32" t="s">
        <v>0</v>
      </c>
      <c r="Y44" s="32" t="s">
        <v>28</v>
      </c>
      <c r="Z44" s="32" t="s">
        <v>5</v>
      </c>
      <c r="AA44" s="39">
        <v>2729</v>
      </c>
      <c r="AB44" s="32">
        <v>3</v>
      </c>
      <c r="AC44" s="36">
        <v>1</v>
      </c>
      <c r="AD44" s="32">
        <v>90.15</v>
      </c>
      <c r="AE44" s="32">
        <v>2006</v>
      </c>
      <c r="AF44" s="32"/>
      <c r="AG44" s="32">
        <v>2.66</v>
      </c>
      <c r="AH44" s="37" t="s">
        <v>215</v>
      </c>
      <c r="AI44" s="32" t="s">
        <v>216</v>
      </c>
      <c r="AJ44" s="32" t="s">
        <v>217</v>
      </c>
    </row>
    <row r="45" spans="1:36" x14ac:dyDescent="0.25">
      <c r="A45" s="32">
        <v>2</v>
      </c>
      <c r="B45" s="32" t="s">
        <v>302</v>
      </c>
      <c r="C45" s="32">
        <v>2</v>
      </c>
      <c r="D45" s="32" t="s">
        <v>262</v>
      </c>
      <c r="E45" s="32">
        <v>13</v>
      </c>
      <c r="F45" s="33"/>
      <c r="G45" s="32">
        <v>124.80501099999999</v>
      </c>
      <c r="H45" s="34">
        <v>0.19342899999999999</v>
      </c>
      <c r="I45" s="34">
        <v>1.4234290000000001</v>
      </c>
      <c r="J45" s="34">
        <v>-1.23</v>
      </c>
      <c r="K45" s="32">
        <v>4.9000000000000004</v>
      </c>
      <c r="L45" s="32" t="s">
        <v>140</v>
      </c>
      <c r="M45" s="32"/>
      <c r="N45" s="35">
        <v>0.63460960035999991</v>
      </c>
      <c r="O45" s="35">
        <v>4.6700428003600001</v>
      </c>
      <c r="P45" s="35">
        <v>-4.0354331999999999</v>
      </c>
      <c r="Q45" s="35">
        <v>1343.3886579028999</v>
      </c>
      <c r="R45" s="32" t="s">
        <v>208</v>
      </c>
      <c r="S45" s="32" t="s">
        <v>263</v>
      </c>
      <c r="T45" s="38">
        <v>46100</v>
      </c>
      <c r="U45" s="38">
        <v>124720.20299970523</v>
      </c>
      <c r="V45" s="32">
        <v>2020</v>
      </c>
      <c r="W45" s="32"/>
      <c r="X45" s="32" t="s">
        <v>0</v>
      </c>
      <c r="Y45" s="32" t="s">
        <v>28</v>
      </c>
      <c r="Z45" s="32" t="s">
        <v>5</v>
      </c>
      <c r="AA45" s="34">
        <v>1343.3886579028999</v>
      </c>
      <c r="AB45" s="32">
        <v>1</v>
      </c>
      <c r="AC45" s="36">
        <v>1</v>
      </c>
      <c r="AD45" s="32">
        <v>92.84</v>
      </c>
      <c r="AE45" s="32">
        <v>2006</v>
      </c>
      <c r="AF45" s="32"/>
      <c r="AG45" s="32">
        <v>2.79</v>
      </c>
      <c r="AH45" s="37" t="s">
        <v>264</v>
      </c>
      <c r="AI45" s="32" t="s">
        <v>265</v>
      </c>
      <c r="AJ45" s="32" t="s">
        <v>266</v>
      </c>
    </row>
    <row r="46" spans="1:36" x14ac:dyDescent="0.25">
      <c r="A46" s="32">
        <v>2</v>
      </c>
      <c r="B46" s="32" t="s">
        <v>307</v>
      </c>
      <c r="C46" s="32">
        <v>2</v>
      </c>
      <c r="D46" s="32" t="s">
        <v>267</v>
      </c>
      <c r="E46" s="32">
        <v>9</v>
      </c>
      <c r="F46" s="33"/>
      <c r="G46" s="32">
        <v>170.363542</v>
      </c>
      <c r="H46" s="34">
        <v>8.7900000000000006E-2</v>
      </c>
      <c r="I46" s="34">
        <v>-0.58209999999999995</v>
      </c>
      <c r="J46" s="34">
        <v>8.7900000000000006E-2</v>
      </c>
      <c r="K46" s="32">
        <v>1.62</v>
      </c>
      <c r="L46" s="32" t="s">
        <v>140</v>
      </c>
      <c r="M46" s="32"/>
      <c r="N46" s="35">
        <v>0.28838583600000001</v>
      </c>
      <c r="O46" s="35">
        <v>-1.9097769639999997</v>
      </c>
      <c r="P46" s="35">
        <v>0.28838583600000001</v>
      </c>
      <c r="Q46" s="35">
        <v>1833.7761297338</v>
      </c>
      <c r="R46" s="32" t="s">
        <v>170</v>
      </c>
      <c r="S46" s="32"/>
      <c r="T46" s="38"/>
      <c r="U46" s="44">
        <v>330629.83619100414</v>
      </c>
      <c r="V46" s="32">
        <v>2006</v>
      </c>
      <c r="W46" s="32"/>
      <c r="X46" s="32" t="s">
        <v>0</v>
      </c>
      <c r="Y46" s="32" t="s">
        <v>28</v>
      </c>
      <c r="Z46" s="32" t="s">
        <v>5</v>
      </c>
      <c r="AA46" s="34">
        <v>3667.5522594675999</v>
      </c>
      <c r="AB46" s="32">
        <v>2</v>
      </c>
      <c r="AC46" s="41">
        <v>1</v>
      </c>
      <c r="AD46" s="32">
        <v>90.15</v>
      </c>
      <c r="AE46" s="32">
        <v>2006</v>
      </c>
      <c r="AF46" s="32"/>
      <c r="AG46" s="32">
        <v>2.93</v>
      </c>
      <c r="AH46" s="37" t="s">
        <v>268</v>
      </c>
      <c r="AI46" s="32" t="s">
        <v>269</v>
      </c>
      <c r="AJ46" s="32"/>
    </row>
    <row r="47" spans="1:36" x14ac:dyDescent="0.25">
      <c r="A47" s="32">
        <v>2</v>
      </c>
      <c r="B47" s="32" t="s">
        <v>307</v>
      </c>
      <c r="C47" s="32">
        <v>2</v>
      </c>
      <c r="D47" s="32" t="s">
        <v>270</v>
      </c>
      <c r="E47" s="32">
        <v>9</v>
      </c>
      <c r="F47" s="33"/>
      <c r="G47" s="32">
        <v>136.25118599999999</v>
      </c>
      <c r="H47" s="34">
        <v>9.3864000000000003E-2</v>
      </c>
      <c r="I47" s="34">
        <v>-0.55476400000000003</v>
      </c>
      <c r="J47" s="34">
        <v>9.3864000000000003E-2</v>
      </c>
      <c r="K47" s="32">
        <v>1.62</v>
      </c>
      <c r="L47" s="32" t="s">
        <v>140</v>
      </c>
      <c r="M47" s="32"/>
      <c r="N47" s="35">
        <v>0.30795276576000002</v>
      </c>
      <c r="O47" s="35">
        <v>-1.82009192176</v>
      </c>
      <c r="P47" s="35">
        <v>0.30795276576000002</v>
      </c>
      <c r="Q47" s="35">
        <v>1466.5941409853999</v>
      </c>
      <c r="R47" s="32" t="s">
        <v>170</v>
      </c>
      <c r="S47" s="32"/>
      <c r="T47" s="38"/>
      <c r="U47" s="44">
        <v>264426.92361966765</v>
      </c>
      <c r="V47" s="32">
        <v>2006</v>
      </c>
      <c r="W47" s="32"/>
      <c r="X47" s="32" t="s">
        <v>0</v>
      </c>
      <c r="Y47" s="32" t="s">
        <v>28</v>
      </c>
      <c r="Z47" s="32" t="s">
        <v>5</v>
      </c>
      <c r="AA47" s="34">
        <v>2933.1882819707998</v>
      </c>
      <c r="AB47" s="32">
        <v>2</v>
      </c>
      <c r="AC47" s="36">
        <v>1</v>
      </c>
      <c r="AD47" s="32">
        <v>90.15</v>
      </c>
      <c r="AE47" s="32">
        <v>2006</v>
      </c>
      <c r="AF47" s="32"/>
      <c r="AG47" s="32">
        <v>2.93</v>
      </c>
      <c r="AH47" s="37" t="s">
        <v>268</v>
      </c>
      <c r="AI47" s="32" t="s">
        <v>269</v>
      </c>
      <c r="AJ47" s="32"/>
    </row>
    <row r="48" spans="1:36" x14ac:dyDescent="0.25">
      <c r="A48" s="32">
        <v>2</v>
      </c>
      <c r="B48" s="32" t="s">
        <v>307</v>
      </c>
      <c r="C48" s="32">
        <v>2</v>
      </c>
      <c r="D48" s="32" t="s">
        <v>271</v>
      </c>
      <c r="E48" s="32">
        <v>9</v>
      </c>
      <c r="F48" s="33"/>
      <c r="G48" s="32">
        <v>98.425234000000003</v>
      </c>
      <c r="H48" s="34">
        <v>0.198569</v>
      </c>
      <c r="I48" s="34">
        <v>-0.46143099999999998</v>
      </c>
      <c r="J48" s="34">
        <v>0.198569</v>
      </c>
      <c r="K48" s="32">
        <v>1.62</v>
      </c>
      <c r="L48" s="32" t="s">
        <v>140</v>
      </c>
      <c r="M48" s="32"/>
      <c r="N48" s="35">
        <v>0.65147311795999996</v>
      </c>
      <c r="O48" s="35">
        <v>-1.5138812820399998</v>
      </c>
      <c r="P48" s="35">
        <v>0.65147311795999996</v>
      </c>
      <c r="Q48" s="35">
        <v>1059.4393762525999</v>
      </c>
      <c r="R48" s="32" t="s">
        <v>170</v>
      </c>
      <c r="S48" s="32"/>
      <c r="T48" s="38"/>
      <c r="U48" s="44">
        <v>98358.351691291376</v>
      </c>
      <c r="V48" s="32">
        <v>2006</v>
      </c>
      <c r="W48" s="32"/>
      <c r="X48" s="32" t="s">
        <v>0</v>
      </c>
      <c r="Y48" s="32" t="s">
        <v>28</v>
      </c>
      <c r="Z48" s="32" t="s">
        <v>5</v>
      </c>
      <c r="AA48" s="34">
        <v>1059.4393762525999</v>
      </c>
      <c r="AB48" s="32">
        <v>1</v>
      </c>
      <c r="AC48" s="36">
        <v>1</v>
      </c>
      <c r="AD48" s="32">
        <v>92.84</v>
      </c>
      <c r="AE48" s="32">
        <v>2006</v>
      </c>
      <c r="AF48" s="32"/>
      <c r="AG48" s="32">
        <v>2.93</v>
      </c>
      <c r="AH48" s="37" t="s">
        <v>268</v>
      </c>
      <c r="AI48" s="32" t="s">
        <v>269</v>
      </c>
      <c r="AJ48" s="32"/>
    </row>
    <row r="49" spans="1:36" x14ac:dyDescent="0.25">
      <c r="A49" s="32">
        <v>20</v>
      </c>
      <c r="B49" s="32" t="s">
        <v>307</v>
      </c>
      <c r="C49" s="32">
        <v>2</v>
      </c>
      <c r="D49" s="32" t="s">
        <v>267</v>
      </c>
      <c r="E49" s="32">
        <v>9</v>
      </c>
      <c r="F49" s="33"/>
      <c r="G49" s="32">
        <v>170.363542</v>
      </c>
      <c r="H49" s="34">
        <v>1.1029</v>
      </c>
      <c r="I49" s="34">
        <v>0.4929</v>
      </c>
      <c r="J49" s="34">
        <v>0.61</v>
      </c>
      <c r="K49" s="32">
        <v>1.62</v>
      </c>
      <c r="L49" s="32" t="s">
        <v>140</v>
      </c>
      <c r="M49" s="32"/>
      <c r="N49" s="35">
        <v>3.6184384359999999</v>
      </c>
      <c r="O49" s="35">
        <v>1.6171260359999999</v>
      </c>
      <c r="P49" s="35">
        <v>2.0013123999999998</v>
      </c>
      <c r="Q49" s="35">
        <v>1833.7761297338</v>
      </c>
      <c r="R49" s="32" t="s">
        <v>170</v>
      </c>
      <c r="S49" s="32"/>
      <c r="T49" s="38"/>
      <c r="U49" s="44">
        <v>330629.83619100414</v>
      </c>
      <c r="V49" s="32">
        <v>2006</v>
      </c>
      <c r="W49" s="32"/>
      <c r="X49" s="32" t="s">
        <v>0</v>
      </c>
      <c r="Y49" s="32" t="s">
        <v>28</v>
      </c>
      <c r="Z49" s="32" t="s">
        <v>5</v>
      </c>
      <c r="AA49" s="34">
        <v>3667.5522594675999</v>
      </c>
      <c r="AB49" s="32">
        <v>2</v>
      </c>
      <c r="AC49" s="41">
        <v>1</v>
      </c>
      <c r="AD49" s="32">
        <v>90.15</v>
      </c>
      <c r="AE49" s="32">
        <v>2006</v>
      </c>
      <c r="AF49" s="32"/>
      <c r="AG49" s="32">
        <v>2.93</v>
      </c>
      <c r="AH49" s="37" t="s">
        <v>268</v>
      </c>
      <c r="AI49" s="32" t="s">
        <v>269</v>
      </c>
      <c r="AJ49" s="32"/>
    </row>
    <row r="50" spans="1:36" x14ac:dyDescent="0.25">
      <c r="A50" s="32">
        <v>20</v>
      </c>
      <c r="B50" s="32" t="s">
        <v>307</v>
      </c>
      <c r="C50" s="32">
        <v>2</v>
      </c>
      <c r="D50" s="32" t="s">
        <v>270</v>
      </c>
      <c r="E50" s="32">
        <v>9</v>
      </c>
      <c r="F50" s="33"/>
      <c r="G50" s="32">
        <v>136.25118599999999</v>
      </c>
      <c r="H50" s="34">
        <v>1.3002359999999999</v>
      </c>
      <c r="I50" s="34">
        <v>0.70023599999999997</v>
      </c>
      <c r="J50" s="34">
        <v>0.6</v>
      </c>
      <c r="K50" s="32">
        <v>1.62</v>
      </c>
      <c r="L50" s="32" t="s">
        <v>140</v>
      </c>
      <c r="M50" s="32"/>
      <c r="N50" s="35">
        <v>4.2658662782399999</v>
      </c>
      <c r="O50" s="35">
        <v>2.2973622782400001</v>
      </c>
      <c r="P50" s="35">
        <v>1.9685039999999998</v>
      </c>
      <c r="Q50" s="35">
        <v>1466.5941409853999</v>
      </c>
      <c r="R50" s="32" t="s">
        <v>170</v>
      </c>
      <c r="S50" s="32"/>
      <c r="T50" s="38"/>
      <c r="U50" s="44">
        <v>264426.92361966765</v>
      </c>
      <c r="V50" s="32">
        <v>2006</v>
      </c>
      <c r="W50" s="32"/>
      <c r="X50" s="32" t="s">
        <v>0</v>
      </c>
      <c r="Y50" s="32" t="s">
        <v>28</v>
      </c>
      <c r="Z50" s="32" t="s">
        <v>5</v>
      </c>
      <c r="AA50" s="34">
        <v>2933.1882819707998</v>
      </c>
      <c r="AB50" s="32">
        <v>2</v>
      </c>
      <c r="AC50" s="36">
        <v>1</v>
      </c>
      <c r="AD50" s="32">
        <v>90.15</v>
      </c>
      <c r="AE50" s="32">
        <v>2006</v>
      </c>
      <c r="AF50" s="32"/>
      <c r="AG50" s="32">
        <v>2.93</v>
      </c>
      <c r="AH50" s="37" t="s">
        <v>268</v>
      </c>
      <c r="AI50" s="32" t="s">
        <v>269</v>
      </c>
      <c r="AJ50" s="32"/>
    </row>
    <row r="51" spans="1:36" x14ac:dyDescent="0.25">
      <c r="A51" s="32">
        <v>20</v>
      </c>
      <c r="B51" s="32" t="s">
        <v>307</v>
      </c>
      <c r="C51" s="32">
        <v>2</v>
      </c>
      <c r="D51" s="32" t="s">
        <v>271</v>
      </c>
      <c r="E51" s="32">
        <v>9</v>
      </c>
      <c r="F51" s="33"/>
      <c r="G51" s="32">
        <v>98.425234000000003</v>
      </c>
      <c r="H51" s="34">
        <v>1.2135689999999999</v>
      </c>
      <c r="I51" s="34">
        <v>0.61356900000000003</v>
      </c>
      <c r="J51" s="34">
        <v>0.6</v>
      </c>
      <c r="K51" s="32">
        <v>1.62</v>
      </c>
      <c r="L51" s="32" t="s">
        <v>140</v>
      </c>
      <c r="M51" s="32"/>
      <c r="N51" s="35">
        <v>3.9815257179599994</v>
      </c>
      <c r="O51" s="35">
        <v>2.0130217179600001</v>
      </c>
      <c r="P51" s="35">
        <v>1.9685039999999998</v>
      </c>
      <c r="Q51" s="35">
        <v>1059.4393762525999</v>
      </c>
      <c r="R51" s="32" t="s">
        <v>170</v>
      </c>
      <c r="S51" s="32"/>
      <c r="T51" s="38"/>
      <c r="U51" s="44">
        <v>98358.351691291376</v>
      </c>
      <c r="V51" s="32">
        <v>2006</v>
      </c>
      <c r="W51" s="32"/>
      <c r="X51" s="32" t="s">
        <v>0</v>
      </c>
      <c r="Y51" s="32" t="s">
        <v>28</v>
      </c>
      <c r="Z51" s="32" t="s">
        <v>5</v>
      </c>
      <c r="AA51" s="34">
        <v>1059.4393762525999</v>
      </c>
      <c r="AB51" s="32">
        <v>1</v>
      </c>
      <c r="AC51" s="36">
        <v>1</v>
      </c>
      <c r="AD51" s="32">
        <v>92.84</v>
      </c>
      <c r="AE51" s="32">
        <v>2006</v>
      </c>
      <c r="AF51" s="32"/>
      <c r="AG51" s="32">
        <v>2.93</v>
      </c>
      <c r="AH51" s="37" t="s">
        <v>268</v>
      </c>
      <c r="AI51" s="32" t="s">
        <v>269</v>
      </c>
      <c r="AJ51" s="32"/>
    </row>
    <row r="52" spans="1:36" x14ac:dyDescent="0.25">
      <c r="A52" s="32">
        <v>100</v>
      </c>
      <c r="B52" s="32" t="s">
        <v>307</v>
      </c>
      <c r="C52" s="32">
        <v>2</v>
      </c>
      <c r="D52" s="32" t="s">
        <v>267</v>
      </c>
      <c r="E52" s="32">
        <v>9</v>
      </c>
      <c r="F52" s="33"/>
      <c r="G52" s="32">
        <v>170.363542</v>
      </c>
      <c r="H52" s="34">
        <v>1.7408999999999999</v>
      </c>
      <c r="I52" s="34">
        <v>1.0008999999999999</v>
      </c>
      <c r="J52" s="34">
        <v>0.74</v>
      </c>
      <c r="K52" s="32">
        <v>1.62</v>
      </c>
      <c r="L52" s="32" t="s">
        <v>140</v>
      </c>
      <c r="M52" s="32"/>
      <c r="N52" s="35">
        <v>5.7116143559999992</v>
      </c>
      <c r="O52" s="35">
        <v>3.2837927559999995</v>
      </c>
      <c r="P52" s="35">
        <v>2.4278216000000001</v>
      </c>
      <c r="Q52" s="35">
        <v>1833.7761297338</v>
      </c>
      <c r="R52" s="32" t="s">
        <v>170</v>
      </c>
      <c r="S52" s="32"/>
      <c r="T52" s="38"/>
      <c r="U52" s="44">
        <v>330629.83619100414</v>
      </c>
      <c r="V52" s="32">
        <v>2006</v>
      </c>
      <c r="W52" s="32"/>
      <c r="X52" s="32" t="s">
        <v>0</v>
      </c>
      <c r="Y52" s="32" t="s">
        <v>28</v>
      </c>
      <c r="Z52" s="32" t="s">
        <v>5</v>
      </c>
      <c r="AA52" s="34">
        <v>3667.5522594675999</v>
      </c>
      <c r="AB52" s="32">
        <v>2</v>
      </c>
      <c r="AC52" s="41">
        <v>1</v>
      </c>
      <c r="AD52" s="32">
        <v>90.15</v>
      </c>
      <c r="AE52" s="32">
        <v>2006</v>
      </c>
      <c r="AF52" s="32"/>
      <c r="AG52" s="32">
        <v>2.93</v>
      </c>
      <c r="AH52" s="37" t="s">
        <v>268</v>
      </c>
      <c r="AI52" s="32" t="s">
        <v>269</v>
      </c>
      <c r="AJ52" s="32"/>
    </row>
    <row r="53" spans="1:36" x14ac:dyDescent="0.25">
      <c r="A53" s="32">
        <v>100</v>
      </c>
      <c r="B53" s="32" t="s">
        <v>307</v>
      </c>
      <c r="C53" s="32">
        <v>2</v>
      </c>
      <c r="D53" s="32" t="s">
        <v>270</v>
      </c>
      <c r="E53" s="32">
        <v>9</v>
      </c>
      <c r="F53" s="33"/>
      <c r="G53" s="32">
        <v>136.25118599999999</v>
      </c>
      <c r="H53" s="34">
        <v>1.9382360000000001</v>
      </c>
      <c r="I53" s="34">
        <v>1.2082360000000001</v>
      </c>
      <c r="J53" s="34">
        <v>0.73</v>
      </c>
      <c r="K53" s="32">
        <v>1.62</v>
      </c>
      <c r="L53" s="32" t="s">
        <v>140</v>
      </c>
      <c r="M53" s="32"/>
      <c r="N53" s="35">
        <v>6.3590421982400001</v>
      </c>
      <c r="O53" s="35">
        <v>3.9640289982400003</v>
      </c>
      <c r="P53" s="35">
        <v>2.3950131999999997</v>
      </c>
      <c r="Q53" s="35">
        <v>1466.5941409853999</v>
      </c>
      <c r="R53" s="32" t="s">
        <v>170</v>
      </c>
      <c r="S53" s="32"/>
      <c r="T53" s="38"/>
      <c r="U53" s="44">
        <v>264426.92361966765</v>
      </c>
      <c r="V53" s="32">
        <v>2006</v>
      </c>
      <c r="W53" s="32"/>
      <c r="X53" s="32" t="s">
        <v>0</v>
      </c>
      <c r="Y53" s="32" t="s">
        <v>28</v>
      </c>
      <c r="Z53" s="32" t="s">
        <v>5</v>
      </c>
      <c r="AA53" s="34">
        <v>2933.1882819707998</v>
      </c>
      <c r="AB53" s="32">
        <v>2</v>
      </c>
      <c r="AC53" s="36">
        <v>1</v>
      </c>
      <c r="AD53" s="32">
        <v>90.15</v>
      </c>
      <c r="AE53" s="32">
        <v>2006</v>
      </c>
      <c r="AF53" s="32"/>
      <c r="AG53" s="32">
        <v>2.93</v>
      </c>
      <c r="AH53" s="37" t="s">
        <v>268</v>
      </c>
      <c r="AI53" s="32" t="s">
        <v>269</v>
      </c>
      <c r="AJ53" s="32"/>
    </row>
    <row r="54" spans="1:36" x14ac:dyDescent="0.25">
      <c r="A54" s="32">
        <v>100</v>
      </c>
      <c r="B54" s="32" t="s">
        <v>307</v>
      </c>
      <c r="C54" s="32">
        <v>2</v>
      </c>
      <c r="D54" s="32" t="s">
        <v>271</v>
      </c>
      <c r="E54" s="32">
        <v>9</v>
      </c>
      <c r="F54" s="33"/>
      <c r="G54" s="32">
        <v>98.425234000000003</v>
      </c>
      <c r="H54" s="34">
        <v>1.841569</v>
      </c>
      <c r="I54" s="34">
        <v>1.131569</v>
      </c>
      <c r="J54" s="34">
        <v>0.71</v>
      </c>
      <c r="K54" s="32">
        <v>1.62</v>
      </c>
      <c r="L54" s="32" t="s">
        <v>140</v>
      </c>
      <c r="M54" s="32"/>
      <c r="N54" s="35">
        <v>6.0418932379600001</v>
      </c>
      <c r="O54" s="35">
        <v>3.7124968379600003</v>
      </c>
      <c r="P54" s="35">
        <v>2.3293963999999998</v>
      </c>
      <c r="Q54" s="35">
        <v>1059.4393762525999</v>
      </c>
      <c r="R54" s="32" t="s">
        <v>170</v>
      </c>
      <c r="S54" s="32"/>
      <c r="T54" s="38"/>
      <c r="U54" s="44">
        <v>98358.351691291376</v>
      </c>
      <c r="V54" s="32">
        <v>2006</v>
      </c>
      <c r="W54" s="32"/>
      <c r="X54" s="32" t="s">
        <v>0</v>
      </c>
      <c r="Y54" s="32" t="s">
        <v>28</v>
      </c>
      <c r="Z54" s="32" t="s">
        <v>5</v>
      </c>
      <c r="AA54" s="34">
        <v>1059.4393762525999</v>
      </c>
      <c r="AB54" s="32">
        <v>1</v>
      </c>
      <c r="AC54" s="36">
        <v>1</v>
      </c>
      <c r="AD54" s="32">
        <v>92.84</v>
      </c>
      <c r="AE54" s="32">
        <v>2006</v>
      </c>
      <c r="AF54" s="32"/>
      <c r="AG54" s="32">
        <v>2.93</v>
      </c>
      <c r="AH54" s="37" t="s">
        <v>268</v>
      </c>
      <c r="AI54" s="32" t="s">
        <v>269</v>
      </c>
      <c r="AJ54" s="32"/>
    </row>
    <row r="55" spans="1:36" x14ac:dyDescent="0.25">
      <c r="A55">
        <v>20</v>
      </c>
      <c r="B55" t="s">
        <v>301</v>
      </c>
      <c r="C55">
        <v>3</v>
      </c>
      <c r="D55" t="s">
        <v>276</v>
      </c>
      <c r="E55">
        <v>12</v>
      </c>
      <c r="G55">
        <v>65.794325000000001</v>
      </c>
      <c r="H55">
        <v>1.166628</v>
      </c>
      <c r="I55">
        <v>0.65662799999999999</v>
      </c>
      <c r="J55">
        <v>0.51</v>
      </c>
      <c r="K55">
        <v>4.9000000000000004</v>
      </c>
      <c r="L55" t="s">
        <v>140</v>
      </c>
      <c r="N55">
        <v>3.8275198075199999</v>
      </c>
      <c r="O55">
        <v>2.1542914075200001</v>
      </c>
      <c r="P55">
        <v>1.6732283999999999</v>
      </c>
      <c r="Q55">
        <v>708.20353486750003</v>
      </c>
      <c r="R55" t="s">
        <v>277</v>
      </c>
      <c r="S55" t="s">
        <v>278</v>
      </c>
      <c r="T55">
        <v>40200</v>
      </c>
      <c r="U55">
        <v>67245</v>
      </c>
      <c r="V55">
        <v>2019</v>
      </c>
      <c r="W55">
        <v>1939</v>
      </c>
      <c r="X55" t="s">
        <v>0</v>
      </c>
      <c r="Y55" t="s">
        <v>28</v>
      </c>
      <c r="Z55" t="s">
        <v>5</v>
      </c>
      <c r="AA55">
        <v>484</v>
      </c>
      <c r="AB55">
        <v>1</v>
      </c>
      <c r="AC55">
        <v>1</v>
      </c>
      <c r="AD55">
        <v>0</v>
      </c>
      <c r="AG55">
        <v>2.2200000000000002</v>
      </c>
      <c r="AH55" t="s">
        <v>279</v>
      </c>
      <c r="AI55" t="s">
        <v>280</v>
      </c>
      <c r="AJ55" t="s">
        <v>281</v>
      </c>
    </row>
    <row r="56" spans="1:36" x14ac:dyDescent="0.25">
      <c r="A56">
        <v>100</v>
      </c>
      <c r="B56" t="s">
        <v>301</v>
      </c>
      <c r="C56">
        <v>3</v>
      </c>
      <c r="D56" t="s">
        <v>282</v>
      </c>
      <c r="E56">
        <v>10</v>
      </c>
      <c r="G56">
        <v>82.180473000000006</v>
      </c>
      <c r="H56">
        <v>2.6466419999999999</v>
      </c>
      <c r="I56">
        <v>2.3166419999999999</v>
      </c>
      <c r="J56">
        <v>0.33</v>
      </c>
      <c r="K56">
        <v>4.9000000000000004</v>
      </c>
      <c r="L56" t="s">
        <v>140</v>
      </c>
      <c r="N56">
        <v>8.68320893928</v>
      </c>
      <c r="O56">
        <v>7.6005317392799991</v>
      </c>
      <c r="P56">
        <v>1.0826772</v>
      </c>
      <c r="Q56">
        <v>884.58239332469998</v>
      </c>
      <c r="R56" t="s">
        <v>277</v>
      </c>
      <c r="S56" t="s">
        <v>283</v>
      </c>
      <c r="T56">
        <v>102800</v>
      </c>
      <c r="U56">
        <v>146786</v>
      </c>
      <c r="V56">
        <v>2019</v>
      </c>
      <c r="W56">
        <v>1965</v>
      </c>
      <c r="X56" t="s">
        <v>0</v>
      </c>
      <c r="Y56" t="s">
        <v>28</v>
      </c>
      <c r="Z56" t="s">
        <v>5</v>
      </c>
      <c r="AA56">
        <v>512</v>
      </c>
      <c r="AB56">
        <v>1</v>
      </c>
      <c r="AC56">
        <v>1</v>
      </c>
      <c r="AD56">
        <v>0</v>
      </c>
      <c r="AG56">
        <v>2.2200000000000002</v>
      </c>
      <c r="AH56" t="s">
        <v>284</v>
      </c>
      <c r="AI56" t="s">
        <v>285</v>
      </c>
      <c r="AJ56" t="s">
        <v>286</v>
      </c>
    </row>
    <row r="57" spans="1:36" x14ac:dyDescent="0.25">
      <c r="A57">
        <v>100</v>
      </c>
      <c r="B57" t="s">
        <v>301</v>
      </c>
      <c r="C57">
        <v>3</v>
      </c>
      <c r="D57" t="s">
        <v>287</v>
      </c>
      <c r="E57">
        <v>10</v>
      </c>
      <c r="G57">
        <v>173.85028</v>
      </c>
      <c r="H57">
        <v>2.1247560000000001</v>
      </c>
      <c r="I57">
        <v>1.7947550000000001</v>
      </c>
      <c r="J57">
        <v>0.33</v>
      </c>
      <c r="K57">
        <v>4.9000000000000004</v>
      </c>
      <c r="L57" t="s">
        <v>140</v>
      </c>
      <c r="N57">
        <v>6.9709844750399999</v>
      </c>
      <c r="O57">
        <v>5.8883039942000002</v>
      </c>
      <c r="P57">
        <v>1.0826772</v>
      </c>
      <c r="Q57">
        <v>1871.3070288919998</v>
      </c>
      <c r="R57" t="s">
        <v>277</v>
      </c>
      <c r="S57" t="s">
        <v>283</v>
      </c>
      <c r="T57">
        <v>93700</v>
      </c>
      <c r="U57">
        <v>187468</v>
      </c>
      <c r="V57">
        <v>2019</v>
      </c>
      <c r="W57">
        <v>1979</v>
      </c>
      <c r="X57" t="s">
        <v>0</v>
      </c>
      <c r="Y57" t="s">
        <v>28</v>
      </c>
      <c r="Z57" t="s">
        <v>5</v>
      </c>
      <c r="AA57">
        <v>800</v>
      </c>
      <c r="AB57">
        <v>2</v>
      </c>
      <c r="AC57">
        <v>1</v>
      </c>
      <c r="AD57">
        <v>0</v>
      </c>
      <c r="AG57">
        <v>2.2200000000000002</v>
      </c>
      <c r="AH57" t="s">
        <v>284</v>
      </c>
      <c r="AI57" t="s">
        <v>288</v>
      </c>
      <c r="AJ57" t="s">
        <v>286</v>
      </c>
    </row>
    <row r="58" spans="1:36" x14ac:dyDescent="0.25">
      <c r="A58">
        <v>100</v>
      </c>
      <c r="B58" t="s">
        <v>301</v>
      </c>
      <c r="C58">
        <v>3</v>
      </c>
      <c r="D58" t="s">
        <v>276</v>
      </c>
      <c r="E58">
        <v>12</v>
      </c>
      <c r="G58">
        <v>137.85180800000001</v>
      </c>
      <c r="H58">
        <v>2.0331809999999999</v>
      </c>
      <c r="I58">
        <v>1.683181</v>
      </c>
      <c r="J58">
        <v>0.35</v>
      </c>
      <c r="K58">
        <v>4.9000000000000004</v>
      </c>
      <c r="L58" t="s">
        <v>140</v>
      </c>
      <c r="N58">
        <v>6.6705415520399995</v>
      </c>
      <c r="O58">
        <v>5.5222475520400005</v>
      </c>
      <c r="P58">
        <v>1.1482939999999999</v>
      </c>
      <c r="Q58">
        <v>1483.8230761312</v>
      </c>
      <c r="R58" t="s">
        <v>277</v>
      </c>
      <c r="S58" t="s">
        <v>278</v>
      </c>
      <c r="T58">
        <v>40200</v>
      </c>
      <c r="U58">
        <v>67245</v>
      </c>
      <c r="V58">
        <v>2019</v>
      </c>
      <c r="W58">
        <v>1939</v>
      </c>
      <c r="X58" t="s">
        <v>0</v>
      </c>
      <c r="Y58" t="s">
        <v>28</v>
      </c>
      <c r="Z58" t="s">
        <v>5</v>
      </c>
      <c r="AA58">
        <v>484</v>
      </c>
      <c r="AB58">
        <v>1</v>
      </c>
      <c r="AC58">
        <v>1</v>
      </c>
      <c r="AD58">
        <v>0</v>
      </c>
      <c r="AG58">
        <v>2.2200000000000002</v>
      </c>
      <c r="AH58" t="s">
        <v>279</v>
      </c>
      <c r="AI58" t="s">
        <v>280</v>
      </c>
      <c r="AJ58" t="s">
        <v>281</v>
      </c>
    </row>
    <row r="59" spans="1:36" x14ac:dyDescent="0.25">
      <c r="A59" s="32">
        <v>2</v>
      </c>
      <c r="B59" s="32" t="s">
        <v>306</v>
      </c>
      <c r="C59" s="32">
        <v>1</v>
      </c>
      <c r="D59" s="32" t="s">
        <v>344</v>
      </c>
      <c r="E59" s="32">
        <v>5</v>
      </c>
      <c r="F59" s="33"/>
      <c r="G59" s="32">
        <v>112.473131</v>
      </c>
      <c r="H59" s="34">
        <v>0.55951700000000004</v>
      </c>
      <c r="I59" s="34">
        <v>-0.210483</v>
      </c>
      <c r="J59" s="34">
        <v>0.55951700000000004</v>
      </c>
      <c r="K59" s="32">
        <v>5.12</v>
      </c>
      <c r="L59" s="32" t="s">
        <v>140</v>
      </c>
      <c r="M59" s="32"/>
      <c r="N59" s="35">
        <v>1.83568575428</v>
      </c>
      <c r="O59" s="35">
        <v>-0.69056104571999999</v>
      </c>
      <c r="P59" s="35">
        <v>1.83568575428</v>
      </c>
      <c r="Q59" s="35">
        <f t="shared" ref="Q59:Q90" si="0">G59*10.7639</f>
        <v>1210.6495347708999</v>
      </c>
      <c r="R59" s="32" t="s">
        <v>208</v>
      </c>
      <c r="S59" s="32" t="s">
        <v>345</v>
      </c>
      <c r="T59" s="38">
        <v>199500</v>
      </c>
      <c r="U59" s="44">
        <f>AA59*AD59</f>
        <v>138470.40000000002</v>
      </c>
      <c r="V59" s="32">
        <v>2020</v>
      </c>
      <c r="W59" s="32">
        <v>1930</v>
      </c>
      <c r="X59" s="32" t="s">
        <v>0</v>
      </c>
      <c r="Y59" s="32" t="s">
        <v>28</v>
      </c>
      <c r="Z59" s="32" t="s">
        <v>5</v>
      </c>
      <c r="AA59" s="38">
        <v>1536</v>
      </c>
      <c r="AB59" s="32">
        <v>2</v>
      </c>
      <c r="AC59" s="88">
        <v>1</v>
      </c>
      <c r="AD59" s="32">
        <v>90.15</v>
      </c>
      <c r="AE59" s="32">
        <v>2006</v>
      </c>
      <c r="AF59" s="32"/>
      <c r="AG59" s="32">
        <v>2.85</v>
      </c>
      <c r="AH59" s="37" t="s">
        <v>346</v>
      </c>
      <c r="AI59" s="32" t="s">
        <v>347</v>
      </c>
      <c r="AJ59" s="32" t="s">
        <v>348</v>
      </c>
    </row>
    <row r="60" spans="1:36" x14ac:dyDescent="0.25">
      <c r="A60" s="32">
        <v>20</v>
      </c>
      <c r="B60" s="32" t="s">
        <v>306</v>
      </c>
      <c r="C60" s="32">
        <v>1</v>
      </c>
      <c r="D60" s="32" t="s">
        <v>344</v>
      </c>
      <c r="E60" s="32">
        <v>5</v>
      </c>
      <c r="F60" s="33"/>
      <c r="G60" s="32">
        <v>112.473131</v>
      </c>
      <c r="H60" s="34">
        <v>2.1701009999999998</v>
      </c>
      <c r="I60" s="34">
        <v>2.1401020000000002</v>
      </c>
      <c r="J60" s="34">
        <v>0.03</v>
      </c>
      <c r="K60" s="32">
        <v>5.12</v>
      </c>
      <c r="L60" s="32" t="s">
        <v>140</v>
      </c>
      <c r="M60" s="32"/>
      <c r="N60" s="35">
        <v>7.1197541648399998</v>
      </c>
      <c r="O60" s="35">
        <v>7.0213322456800009</v>
      </c>
      <c r="P60" s="35">
        <v>9.842519999999999E-2</v>
      </c>
      <c r="Q60" s="35">
        <f t="shared" si="0"/>
        <v>1210.6495347708999</v>
      </c>
      <c r="R60" s="32" t="s">
        <v>208</v>
      </c>
      <c r="S60" s="32" t="s">
        <v>345</v>
      </c>
      <c r="T60" s="38">
        <v>199500</v>
      </c>
      <c r="U60" s="44">
        <f>AA60*AD60</f>
        <v>138470.40000000002</v>
      </c>
      <c r="V60" s="32">
        <v>2020</v>
      </c>
      <c r="W60" s="32">
        <v>1930</v>
      </c>
      <c r="X60" s="32" t="s">
        <v>0</v>
      </c>
      <c r="Y60" s="32" t="s">
        <v>28</v>
      </c>
      <c r="Z60" s="32" t="s">
        <v>5</v>
      </c>
      <c r="AA60" s="38">
        <v>1536</v>
      </c>
      <c r="AB60" s="32">
        <v>2</v>
      </c>
      <c r="AC60" s="88">
        <v>1</v>
      </c>
      <c r="AD60" s="32">
        <v>90.15</v>
      </c>
      <c r="AE60" s="32">
        <v>2006</v>
      </c>
      <c r="AF60" s="32"/>
      <c r="AG60" s="32">
        <v>2.85</v>
      </c>
      <c r="AH60" s="37" t="s">
        <v>346</v>
      </c>
      <c r="AI60" s="32" t="s">
        <v>347</v>
      </c>
      <c r="AJ60" s="32" t="s">
        <v>348</v>
      </c>
    </row>
    <row r="61" spans="1:36" x14ac:dyDescent="0.25">
      <c r="A61" s="32">
        <v>100</v>
      </c>
      <c r="B61" s="32" t="s">
        <v>306</v>
      </c>
      <c r="C61" s="32">
        <v>1</v>
      </c>
      <c r="D61" s="32" t="s">
        <v>344</v>
      </c>
      <c r="E61" s="32">
        <v>5</v>
      </c>
      <c r="F61" s="33"/>
      <c r="G61" s="32">
        <v>112.473131</v>
      </c>
      <c r="H61" s="34">
        <v>2.9621010000000001</v>
      </c>
      <c r="I61" s="34">
        <v>2.892102</v>
      </c>
      <c r="J61" s="34">
        <v>7.0000000000000007E-2</v>
      </c>
      <c r="K61" s="32">
        <v>5.12</v>
      </c>
      <c r="L61" s="32" t="s">
        <v>140</v>
      </c>
      <c r="M61" s="32"/>
      <c r="N61" s="35">
        <v>9.7181794448400005</v>
      </c>
      <c r="O61" s="35">
        <v>9.4885239256799991</v>
      </c>
      <c r="P61" s="35">
        <v>0.22965880000000002</v>
      </c>
      <c r="Q61" s="35">
        <f t="shared" si="0"/>
        <v>1210.6495347708999</v>
      </c>
      <c r="R61" s="32" t="s">
        <v>208</v>
      </c>
      <c r="S61" s="32" t="s">
        <v>345</v>
      </c>
      <c r="T61" s="38">
        <v>199500</v>
      </c>
      <c r="U61" s="44">
        <f>AA61*AD61</f>
        <v>138470.40000000002</v>
      </c>
      <c r="V61" s="32">
        <v>2020</v>
      </c>
      <c r="W61" s="32">
        <v>1930</v>
      </c>
      <c r="X61" s="32" t="s">
        <v>0</v>
      </c>
      <c r="Y61" s="32" t="s">
        <v>28</v>
      </c>
      <c r="Z61" s="32" t="s">
        <v>5</v>
      </c>
      <c r="AA61" s="38">
        <v>1536</v>
      </c>
      <c r="AB61" s="32">
        <v>2</v>
      </c>
      <c r="AC61" s="88">
        <v>1</v>
      </c>
      <c r="AD61" s="32">
        <v>90.15</v>
      </c>
      <c r="AE61" s="32">
        <v>2006</v>
      </c>
      <c r="AF61" s="32"/>
      <c r="AG61" s="32">
        <v>2.85</v>
      </c>
      <c r="AH61" s="37" t="s">
        <v>346</v>
      </c>
      <c r="AI61" s="32" t="s">
        <v>347</v>
      </c>
      <c r="AJ61" s="32" t="s">
        <v>348</v>
      </c>
    </row>
    <row r="62" spans="1:36" x14ac:dyDescent="0.25">
      <c r="A62" s="32">
        <v>20</v>
      </c>
      <c r="B62" s="32" t="s">
        <v>306</v>
      </c>
      <c r="C62" s="32">
        <v>1</v>
      </c>
      <c r="D62" s="32" t="s">
        <v>349</v>
      </c>
      <c r="E62" s="32">
        <v>8</v>
      </c>
      <c r="F62" s="33"/>
      <c r="G62" s="32">
        <v>129.28858500000001</v>
      </c>
      <c r="H62" s="34">
        <v>0.96024900000000002</v>
      </c>
      <c r="I62" s="34">
        <v>0.92024899999999998</v>
      </c>
      <c r="J62" s="34">
        <v>0.04</v>
      </c>
      <c r="K62" s="32">
        <v>5.12</v>
      </c>
      <c r="L62" s="32" t="s">
        <v>140</v>
      </c>
      <c r="M62" s="32"/>
      <c r="N62" s="35">
        <v>3.1504233291600001</v>
      </c>
      <c r="O62" s="35">
        <v>3.0191897291599998</v>
      </c>
      <c r="P62" s="35">
        <v>0.13123360000000001</v>
      </c>
      <c r="Q62" s="35">
        <f t="shared" si="0"/>
        <v>1391.6494000815001</v>
      </c>
      <c r="R62" s="32" t="s">
        <v>208</v>
      </c>
      <c r="S62" s="32" t="s">
        <v>350</v>
      </c>
      <c r="T62" s="38"/>
      <c r="U62" s="89">
        <f>AD62</f>
        <v>19780</v>
      </c>
      <c r="V62" s="32"/>
      <c r="W62" s="32">
        <v>2003</v>
      </c>
      <c r="X62" s="32" t="s">
        <v>0</v>
      </c>
      <c r="Y62" s="32" t="s">
        <v>28</v>
      </c>
      <c r="Z62" s="32" t="s">
        <v>5</v>
      </c>
      <c r="AA62" s="34">
        <f t="shared" ref="AA62:AA63" si="1">Q62</f>
        <v>1391.6494000815001</v>
      </c>
      <c r="AB62" s="32">
        <v>1</v>
      </c>
      <c r="AC62" s="88">
        <v>1</v>
      </c>
      <c r="AD62" s="38">
        <v>19780</v>
      </c>
      <c r="AE62" s="32">
        <v>2006</v>
      </c>
      <c r="AF62" s="32" t="s">
        <v>250</v>
      </c>
      <c r="AG62" s="32">
        <v>0</v>
      </c>
      <c r="AH62" s="37" t="s">
        <v>346</v>
      </c>
      <c r="AI62" s="32" t="s">
        <v>351</v>
      </c>
      <c r="AJ62" s="32" t="s">
        <v>352</v>
      </c>
    </row>
    <row r="63" spans="1:36" x14ac:dyDescent="0.25">
      <c r="A63" s="32">
        <v>100</v>
      </c>
      <c r="B63" s="32" t="s">
        <v>306</v>
      </c>
      <c r="C63" s="32">
        <v>1</v>
      </c>
      <c r="D63" s="32" t="s">
        <v>349</v>
      </c>
      <c r="E63" s="32">
        <v>8</v>
      </c>
      <c r="F63" s="33"/>
      <c r="G63" s="32">
        <v>129.28858500000001</v>
      </c>
      <c r="H63" s="34">
        <v>1.762248</v>
      </c>
      <c r="I63" s="34">
        <v>1.682248</v>
      </c>
      <c r="J63" s="34">
        <v>0.08</v>
      </c>
      <c r="K63" s="32">
        <v>5.12</v>
      </c>
      <c r="L63" s="32" t="s">
        <v>140</v>
      </c>
      <c r="M63" s="32"/>
      <c r="N63" s="35">
        <v>5.7816537283200002</v>
      </c>
      <c r="O63" s="35">
        <v>5.5191865283199997</v>
      </c>
      <c r="P63" s="35">
        <v>0.26246720000000001</v>
      </c>
      <c r="Q63" s="35">
        <f t="shared" si="0"/>
        <v>1391.6494000815001</v>
      </c>
      <c r="R63" s="32" t="s">
        <v>208</v>
      </c>
      <c r="S63" s="32" t="s">
        <v>350</v>
      </c>
      <c r="T63" s="38"/>
      <c r="U63" s="89">
        <f>AD63</f>
        <v>19780</v>
      </c>
      <c r="V63" s="32"/>
      <c r="W63" s="32">
        <v>2003</v>
      </c>
      <c r="X63" s="32" t="s">
        <v>0</v>
      </c>
      <c r="Y63" s="32" t="s">
        <v>28</v>
      </c>
      <c r="Z63" s="32" t="s">
        <v>5</v>
      </c>
      <c r="AA63" s="34">
        <f t="shared" si="1"/>
        <v>1391.6494000815001</v>
      </c>
      <c r="AB63" s="32">
        <v>1</v>
      </c>
      <c r="AC63" s="88">
        <v>1</v>
      </c>
      <c r="AD63" s="38">
        <v>19780</v>
      </c>
      <c r="AE63" s="32">
        <v>2006</v>
      </c>
      <c r="AF63" s="32" t="s">
        <v>250</v>
      </c>
      <c r="AG63" s="32">
        <v>0</v>
      </c>
      <c r="AH63" s="37" t="s">
        <v>346</v>
      </c>
      <c r="AI63" s="32" t="s">
        <v>351</v>
      </c>
      <c r="AJ63" s="32" t="s">
        <v>352</v>
      </c>
    </row>
    <row r="64" spans="1:36" x14ac:dyDescent="0.25">
      <c r="A64" s="32">
        <v>20</v>
      </c>
      <c r="B64" s="32" t="s">
        <v>306</v>
      </c>
      <c r="C64" s="32">
        <v>1</v>
      </c>
      <c r="D64" s="32" t="s">
        <v>353</v>
      </c>
      <c r="E64" s="32">
        <v>8</v>
      </c>
      <c r="F64" s="33"/>
      <c r="G64" s="32">
        <v>172.60130699999999</v>
      </c>
      <c r="H64" s="34">
        <v>0.69255</v>
      </c>
      <c r="I64" s="34">
        <v>0.65254999999999996</v>
      </c>
      <c r="J64" s="34">
        <v>0.04</v>
      </c>
      <c r="K64" s="32">
        <v>5.12</v>
      </c>
      <c r="L64" s="32" t="s">
        <v>140</v>
      </c>
      <c r="M64" s="32"/>
      <c r="N64" s="35">
        <v>2.2721457420000002</v>
      </c>
      <c r="O64" s="35">
        <v>2.1409121419999999</v>
      </c>
      <c r="P64" s="35">
        <v>0.13123360000000001</v>
      </c>
      <c r="Q64" s="35">
        <f t="shared" si="0"/>
        <v>1857.8632084172998</v>
      </c>
      <c r="R64" s="32" t="s">
        <v>208</v>
      </c>
      <c r="S64" s="32" t="s">
        <v>354</v>
      </c>
      <c r="T64" s="38">
        <v>58700</v>
      </c>
      <c r="U64" s="44">
        <f t="shared" ref="U64:U69" si="2">AA64*AD64</f>
        <v>66844.800000000003</v>
      </c>
      <c r="V64" s="32">
        <v>2018</v>
      </c>
      <c r="W64" s="32">
        <v>1940</v>
      </c>
      <c r="X64" s="32" t="s">
        <v>0</v>
      </c>
      <c r="Y64" s="32" t="s">
        <v>28</v>
      </c>
      <c r="Z64" s="32" t="s">
        <v>5</v>
      </c>
      <c r="AA64" s="32">
        <v>720</v>
      </c>
      <c r="AB64" s="32">
        <v>1</v>
      </c>
      <c r="AC64" s="88">
        <v>1</v>
      </c>
      <c r="AD64" s="32">
        <v>92.84</v>
      </c>
      <c r="AE64" s="32">
        <v>2006</v>
      </c>
      <c r="AF64" s="32"/>
      <c r="AG64" s="32">
        <v>2.63</v>
      </c>
      <c r="AH64" s="37" t="s">
        <v>346</v>
      </c>
      <c r="AI64" s="32" t="s">
        <v>355</v>
      </c>
      <c r="AJ64" s="32" t="s">
        <v>356</v>
      </c>
    </row>
    <row r="65" spans="1:36" x14ac:dyDescent="0.25">
      <c r="A65" s="32">
        <v>100</v>
      </c>
      <c r="B65" s="32" t="s">
        <v>306</v>
      </c>
      <c r="C65" s="32">
        <v>1</v>
      </c>
      <c r="D65" s="32" t="s">
        <v>353</v>
      </c>
      <c r="E65" s="32">
        <v>8</v>
      </c>
      <c r="F65" s="33"/>
      <c r="G65" s="32">
        <v>172.60130699999999</v>
      </c>
      <c r="H65" s="34">
        <v>1.49455</v>
      </c>
      <c r="I65" s="34">
        <v>1.41455</v>
      </c>
      <c r="J65" s="34">
        <v>0.08</v>
      </c>
      <c r="K65" s="32">
        <v>5.12</v>
      </c>
      <c r="L65" s="32" t="s">
        <v>140</v>
      </c>
      <c r="M65" s="32"/>
      <c r="N65" s="35">
        <v>4.9033794220000004</v>
      </c>
      <c r="O65" s="35">
        <v>4.6409122219999999</v>
      </c>
      <c r="P65" s="35">
        <v>0.26246720000000001</v>
      </c>
      <c r="Q65" s="35">
        <f t="shared" si="0"/>
        <v>1857.8632084172998</v>
      </c>
      <c r="R65" s="32" t="s">
        <v>208</v>
      </c>
      <c r="S65" s="32" t="s">
        <v>354</v>
      </c>
      <c r="T65" s="38">
        <v>58700</v>
      </c>
      <c r="U65" s="44">
        <f t="shared" si="2"/>
        <v>66844.800000000003</v>
      </c>
      <c r="V65" s="32">
        <v>2018</v>
      </c>
      <c r="W65" s="32">
        <v>1940</v>
      </c>
      <c r="X65" s="32" t="s">
        <v>0</v>
      </c>
      <c r="Y65" s="32" t="s">
        <v>28</v>
      </c>
      <c r="Z65" s="32" t="s">
        <v>5</v>
      </c>
      <c r="AA65" s="32">
        <v>720</v>
      </c>
      <c r="AB65" s="32">
        <v>1</v>
      </c>
      <c r="AC65" s="88">
        <v>1</v>
      </c>
      <c r="AD65" s="32">
        <v>92.84</v>
      </c>
      <c r="AE65" s="32">
        <v>2006</v>
      </c>
      <c r="AF65" s="32"/>
      <c r="AG65" s="32">
        <v>2.63</v>
      </c>
      <c r="AH65" s="37" t="s">
        <v>346</v>
      </c>
      <c r="AI65" s="32" t="s">
        <v>355</v>
      </c>
      <c r="AJ65" s="32" t="s">
        <v>356</v>
      </c>
    </row>
    <row r="66" spans="1:36" x14ac:dyDescent="0.25">
      <c r="A66" s="32">
        <v>100</v>
      </c>
      <c r="B66" s="32" t="s">
        <v>306</v>
      </c>
      <c r="C66" s="32">
        <v>1</v>
      </c>
      <c r="D66" s="32" t="s">
        <v>357</v>
      </c>
      <c r="E66" s="32">
        <v>4</v>
      </c>
      <c r="F66" s="33"/>
      <c r="G66" s="32">
        <v>330.73973599999999</v>
      </c>
      <c r="H66" s="34">
        <v>3.0123579999999999</v>
      </c>
      <c r="I66" s="34">
        <v>2.882358</v>
      </c>
      <c r="J66" s="34">
        <v>0.13</v>
      </c>
      <c r="K66" s="32">
        <v>5.12</v>
      </c>
      <c r="L66" s="32" t="s">
        <v>140</v>
      </c>
      <c r="M66" s="32"/>
      <c r="N66" s="35">
        <v>9.883064620719999</v>
      </c>
      <c r="O66" s="35">
        <v>9.4565554207199991</v>
      </c>
      <c r="P66" s="35">
        <v>0.42650920000000003</v>
      </c>
      <c r="Q66" s="35">
        <f t="shared" si="0"/>
        <v>3560.0494443303996</v>
      </c>
      <c r="R66" s="32" t="s">
        <v>208</v>
      </c>
      <c r="S66" s="32" t="s">
        <v>358</v>
      </c>
      <c r="T66" s="38">
        <v>337000</v>
      </c>
      <c r="U66" s="44">
        <f t="shared" si="2"/>
        <v>236193.00000000003</v>
      </c>
      <c r="V66" s="32">
        <v>2020</v>
      </c>
      <c r="W66" s="32">
        <v>2005</v>
      </c>
      <c r="X66" s="32" t="s">
        <v>0</v>
      </c>
      <c r="Y66" s="32" t="s">
        <v>28</v>
      </c>
      <c r="Z66" s="32" t="s">
        <v>203</v>
      </c>
      <c r="AA66" s="32">
        <v>2620</v>
      </c>
      <c r="AB66" s="32">
        <v>2</v>
      </c>
      <c r="AC66" s="88">
        <v>9</v>
      </c>
      <c r="AD66" s="32">
        <v>90.15</v>
      </c>
      <c r="AE66" s="32">
        <v>2006</v>
      </c>
      <c r="AF66" s="32"/>
      <c r="AG66" s="32">
        <v>2.85</v>
      </c>
      <c r="AH66" s="37"/>
      <c r="AI66" s="32" t="s">
        <v>359</v>
      </c>
      <c r="AJ66" s="32" t="s">
        <v>360</v>
      </c>
    </row>
    <row r="67" spans="1:36" x14ac:dyDescent="0.25">
      <c r="A67" s="32">
        <v>100</v>
      </c>
      <c r="B67" s="32" t="s">
        <v>306</v>
      </c>
      <c r="C67" s="32">
        <v>1</v>
      </c>
      <c r="D67" s="32" t="s">
        <v>357</v>
      </c>
      <c r="E67" s="32">
        <v>4</v>
      </c>
      <c r="F67" s="33"/>
      <c r="G67" s="32">
        <v>330.73973599999999</v>
      </c>
      <c r="H67" s="34">
        <v>3.0123579999999999</v>
      </c>
      <c r="I67" s="34">
        <v>2.882358</v>
      </c>
      <c r="J67" s="34">
        <v>0.13</v>
      </c>
      <c r="K67" s="32">
        <v>5.12</v>
      </c>
      <c r="L67" s="32" t="s">
        <v>140</v>
      </c>
      <c r="M67" s="32"/>
      <c r="N67" s="35">
        <v>9.883064620719999</v>
      </c>
      <c r="O67" s="35">
        <v>9.4565554207199991</v>
      </c>
      <c r="P67" s="35">
        <v>0.42650920000000003</v>
      </c>
      <c r="Q67" s="35">
        <f t="shared" si="0"/>
        <v>3560.0494443303996</v>
      </c>
      <c r="R67" s="32" t="s">
        <v>208</v>
      </c>
      <c r="S67" s="32" t="s">
        <v>361</v>
      </c>
      <c r="T67" s="38">
        <v>365000</v>
      </c>
      <c r="U67" s="44">
        <f t="shared" si="2"/>
        <v>198330</v>
      </c>
      <c r="V67" s="32">
        <v>2020</v>
      </c>
      <c r="W67" s="32">
        <v>2004</v>
      </c>
      <c r="X67" s="32" t="s">
        <v>0</v>
      </c>
      <c r="Y67" s="32" t="s">
        <v>28</v>
      </c>
      <c r="Z67" s="32" t="s">
        <v>203</v>
      </c>
      <c r="AA67" s="32">
        <v>2200</v>
      </c>
      <c r="AB67" s="32">
        <v>2</v>
      </c>
      <c r="AC67" s="88">
        <v>9</v>
      </c>
      <c r="AD67" s="32">
        <v>90.15</v>
      </c>
      <c r="AE67" s="32">
        <v>2006</v>
      </c>
      <c r="AF67" s="32"/>
      <c r="AG67" s="32">
        <v>2.85</v>
      </c>
      <c r="AH67" s="37"/>
      <c r="AI67" s="32" t="s">
        <v>359</v>
      </c>
      <c r="AJ67" s="32" t="s">
        <v>362</v>
      </c>
    </row>
    <row r="68" spans="1:36" x14ac:dyDescent="0.25">
      <c r="A68" s="32">
        <v>100</v>
      </c>
      <c r="B68" s="32" t="s">
        <v>306</v>
      </c>
      <c r="C68" s="32">
        <v>1</v>
      </c>
      <c r="D68" s="32" t="s">
        <v>363</v>
      </c>
      <c r="E68" s="32">
        <v>4</v>
      </c>
      <c r="F68" s="33"/>
      <c r="G68" s="32">
        <v>253.607662</v>
      </c>
      <c r="H68" s="34">
        <v>2.9789629999999998</v>
      </c>
      <c r="I68" s="34">
        <v>2.8489629999999999</v>
      </c>
      <c r="J68" s="34">
        <v>0.13</v>
      </c>
      <c r="K68" s="32">
        <v>5.12</v>
      </c>
      <c r="L68" s="32" t="s">
        <v>140</v>
      </c>
      <c r="M68" s="32"/>
      <c r="N68" s="35">
        <v>9.7735009689199988</v>
      </c>
      <c r="O68" s="35">
        <v>9.3469917689199988</v>
      </c>
      <c r="P68" s="35">
        <v>0.42650920000000003</v>
      </c>
      <c r="Q68" s="35">
        <f t="shared" si="0"/>
        <v>2729.8075130018001</v>
      </c>
      <c r="R68" s="32" t="s">
        <v>208</v>
      </c>
      <c r="S68" s="32" t="s">
        <v>364</v>
      </c>
      <c r="T68" s="38">
        <v>249500</v>
      </c>
      <c r="U68" s="44">
        <f t="shared" si="2"/>
        <v>160467</v>
      </c>
      <c r="V68" s="32">
        <v>2020</v>
      </c>
      <c r="W68" s="32">
        <v>2005</v>
      </c>
      <c r="X68" s="32" t="s">
        <v>0</v>
      </c>
      <c r="Y68" s="32" t="s">
        <v>28</v>
      </c>
      <c r="Z68" s="32" t="s">
        <v>203</v>
      </c>
      <c r="AA68" s="32">
        <v>1780</v>
      </c>
      <c r="AB68" s="32">
        <v>2</v>
      </c>
      <c r="AC68" s="88">
        <v>9</v>
      </c>
      <c r="AD68" s="32">
        <v>90.15</v>
      </c>
      <c r="AE68" s="32">
        <v>2006</v>
      </c>
      <c r="AF68" s="32"/>
      <c r="AG68" s="32">
        <v>2.85</v>
      </c>
      <c r="AH68" s="37"/>
      <c r="AI68" s="32" t="s">
        <v>359</v>
      </c>
      <c r="AJ68" s="32" t="s">
        <v>365</v>
      </c>
    </row>
    <row r="69" spans="1:36" x14ac:dyDescent="0.25">
      <c r="A69" s="32">
        <v>100</v>
      </c>
      <c r="B69" s="32" t="s">
        <v>306</v>
      </c>
      <c r="C69" s="32">
        <v>1</v>
      </c>
      <c r="D69" s="32" t="s">
        <v>363</v>
      </c>
      <c r="E69" s="32">
        <v>4</v>
      </c>
      <c r="F69" s="33"/>
      <c r="G69" s="32">
        <v>253.607662</v>
      </c>
      <c r="H69" s="34">
        <v>2.9789629999999998</v>
      </c>
      <c r="I69" s="34">
        <v>2.8489629999999999</v>
      </c>
      <c r="J69" s="34">
        <v>0.13</v>
      </c>
      <c r="K69" s="32">
        <v>5.12</v>
      </c>
      <c r="L69" s="32" t="s">
        <v>140</v>
      </c>
      <c r="M69" s="32"/>
      <c r="N69" s="35">
        <v>9.7735009689199988</v>
      </c>
      <c r="O69" s="35">
        <v>9.3469917689199988</v>
      </c>
      <c r="P69" s="35">
        <v>0.42650920000000003</v>
      </c>
      <c r="Q69" s="35">
        <f t="shared" si="0"/>
        <v>2729.8075130018001</v>
      </c>
      <c r="R69" s="32" t="s">
        <v>208</v>
      </c>
      <c r="S69" s="32" t="s">
        <v>366</v>
      </c>
      <c r="T69" s="38">
        <v>213300</v>
      </c>
      <c r="U69" s="44">
        <f t="shared" si="2"/>
        <v>214019.84999999998</v>
      </c>
      <c r="V69" s="32">
        <v>2020</v>
      </c>
      <c r="W69" s="32">
        <v>1998</v>
      </c>
      <c r="X69" s="32" t="s">
        <v>0</v>
      </c>
      <c r="Y69" s="32" t="s">
        <v>28</v>
      </c>
      <c r="Z69" s="32" t="s">
        <v>203</v>
      </c>
      <c r="AA69" s="32">
        <v>2265</v>
      </c>
      <c r="AB69" s="32">
        <v>3</v>
      </c>
      <c r="AC69" s="88">
        <v>9</v>
      </c>
      <c r="AD69" s="32">
        <v>94.49</v>
      </c>
      <c r="AE69" s="32">
        <v>2006</v>
      </c>
      <c r="AF69" s="32"/>
      <c r="AG69" s="32">
        <v>2.85</v>
      </c>
      <c r="AH69" s="37"/>
      <c r="AI69" s="32" t="s">
        <v>359</v>
      </c>
      <c r="AJ69" s="32" t="s">
        <v>367</v>
      </c>
    </row>
    <row r="70" spans="1:36" x14ac:dyDescent="0.25">
      <c r="A70" s="32">
        <v>2</v>
      </c>
      <c r="B70" s="32" t="s">
        <v>304</v>
      </c>
      <c r="C70" s="32">
        <v>1</v>
      </c>
      <c r="D70" s="32" t="s">
        <v>372</v>
      </c>
      <c r="E70" s="32">
        <v>8</v>
      </c>
      <c r="F70" s="33"/>
      <c r="G70" s="32">
        <v>151.25449399999999</v>
      </c>
      <c r="H70" s="34">
        <v>1.003179</v>
      </c>
      <c r="I70" s="34">
        <v>0.96317900000000001</v>
      </c>
      <c r="J70" s="34">
        <v>0.04</v>
      </c>
      <c r="K70" s="32">
        <v>4.9000000000000004</v>
      </c>
      <c r="L70" s="32" t="s">
        <v>140</v>
      </c>
      <c r="M70" s="32"/>
      <c r="N70" s="35">
        <v>3.2912697903600003</v>
      </c>
      <c r="O70" s="35">
        <v>3.1600361903600001</v>
      </c>
      <c r="P70" s="35">
        <v>0.13123360000000001</v>
      </c>
      <c r="Q70" s="35">
        <f t="shared" si="0"/>
        <v>1628.0882479666</v>
      </c>
      <c r="R70" s="32" t="s">
        <v>373</v>
      </c>
      <c r="S70" s="33" t="s">
        <v>374</v>
      </c>
      <c r="T70" s="38">
        <v>221300</v>
      </c>
      <c r="U70" s="34">
        <f>(AA70*AD70)+12600</f>
        <v>211651.20000000001</v>
      </c>
      <c r="V70" s="32">
        <v>2020</v>
      </c>
      <c r="W70" s="32">
        <v>2003</v>
      </c>
      <c r="X70" s="32" t="s">
        <v>0</v>
      </c>
      <c r="Y70" s="32" t="s">
        <v>28</v>
      </c>
      <c r="Z70" s="32" t="s">
        <v>203</v>
      </c>
      <c r="AA70" s="32">
        <v>2208</v>
      </c>
      <c r="AB70" s="102">
        <v>2</v>
      </c>
      <c r="AC70" s="41">
        <v>9</v>
      </c>
      <c r="AD70" s="32">
        <v>90.15</v>
      </c>
      <c r="AE70" s="32">
        <v>2006</v>
      </c>
      <c r="AF70" s="32" t="s">
        <v>375</v>
      </c>
      <c r="AG70" s="34"/>
      <c r="AH70" s="103" t="s">
        <v>376</v>
      </c>
      <c r="AI70" s="34" t="s">
        <v>377</v>
      </c>
      <c r="AJ70" s="32" t="s">
        <v>378</v>
      </c>
    </row>
    <row r="71" spans="1:36" x14ac:dyDescent="0.25">
      <c r="A71" s="32">
        <v>2</v>
      </c>
      <c r="B71" s="32" t="s">
        <v>304</v>
      </c>
      <c r="C71" s="32">
        <v>1</v>
      </c>
      <c r="D71" s="32" t="s">
        <v>379</v>
      </c>
      <c r="E71" s="32">
        <v>8</v>
      </c>
      <c r="F71" s="33"/>
      <c r="G71" s="32">
        <v>182.97385700000001</v>
      </c>
      <c r="H71" s="34">
        <v>0.85238599999999998</v>
      </c>
      <c r="I71" s="34">
        <v>0.84238599999999997</v>
      </c>
      <c r="J71" s="34">
        <v>0.01</v>
      </c>
      <c r="K71" s="32">
        <v>4.9000000000000004</v>
      </c>
      <c r="L71" s="32" t="s">
        <v>140</v>
      </c>
      <c r="M71" s="32"/>
      <c r="N71" s="35">
        <v>2.7965420842399999</v>
      </c>
      <c r="O71" s="35">
        <v>2.76373368424</v>
      </c>
      <c r="P71" s="35">
        <v>3.2808400000000001E-2</v>
      </c>
      <c r="Q71" s="35">
        <f t="shared" si="0"/>
        <v>1969.5122993622999</v>
      </c>
      <c r="R71" s="32" t="s">
        <v>373</v>
      </c>
      <c r="S71" s="33" t="s">
        <v>380</v>
      </c>
      <c r="T71" s="38">
        <v>184100</v>
      </c>
      <c r="U71" s="34">
        <f>(AA71*AD71)+12600</f>
        <v>208517.75999999998</v>
      </c>
      <c r="V71" s="32">
        <v>2020</v>
      </c>
      <c r="W71" s="32">
        <v>1973</v>
      </c>
      <c r="X71" s="32" t="s">
        <v>0</v>
      </c>
      <c r="Y71" s="32" t="s">
        <v>28</v>
      </c>
      <c r="Z71" s="32" t="s">
        <v>203</v>
      </c>
      <c r="AA71" s="32">
        <v>2306</v>
      </c>
      <c r="AB71" s="102">
        <v>2</v>
      </c>
      <c r="AC71" s="41">
        <v>9</v>
      </c>
      <c r="AD71" s="32">
        <v>84.96</v>
      </c>
      <c r="AE71" s="32">
        <v>2006</v>
      </c>
      <c r="AF71" s="32" t="s">
        <v>375</v>
      </c>
      <c r="AG71" s="34"/>
      <c r="AH71" s="103" t="s">
        <v>381</v>
      </c>
      <c r="AI71" s="34" t="s">
        <v>382</v>
      </c>
      <c r="AJ71" s="32" t="s">
        <v>383</v>
      </c>
    </row>
    <row r="72" spans="1:36" x14ac:dyDescent="0.25">
      <c r="A72" s="32">
        <v>2</v>
      </c>
      <c r="B72" s="32" t="s">
        <v>304</v>
      </c>
      <c r="C72" s="32">
        <v>1</v>
      </c>
      <c r="D72" s="32" t="s">
        <v>384</v>
      </c>
      <c r="E72" s="32">
        <v>8</v>
      </c>
      <c r="F72" s="33"/>
      <c r="G72" s="32">
        <v>180.902252</v>
      </c>
      <c r="H72" s="34">
        <v>0.90127900000000005</v>
      </c>
      <c r="I72" s="34">
        <v>0.81127899999999997</v>
      </c>
      <c r="J72" s="34">
        <v>0.09</v>
      </c>
      <c r="K72" s="32">
        <v>4.9000000000000004</v>
      </c>
      <c r="L72" s="32" t="s">
        <v>140</v>
      </c>
      <c r="M72" s="32"/>
      <c r="N72" s="35">
        <v>2.9569521943600003</v>
      </c>
      <c r="O72" s="35">
        <v>2.6616765943599998</v>
      </c>
      <c r="P72" s="35">
        <v>0.29527559999999997</v>
      </c>
      <c r="Q72" s="35">
        <f t="shared" si="0"/>
        <v>1947.2137503028</v>
      </c>
      <c r="R72" s="32" t="s">
        <v>373</v>
      </c>
      <c r="S72" s="33" t="s">
        <v>427</v>
      </c>
      <c r="T72" s="38">
        <v>111700</v>
      </c>
      <c r="U72" s="34">
        <f>(AA72*AD72)+19780</f>
        <v>211959.52</v>
      </c>
      <c r="V72" s="32">
        <v>2020</v>
      </c>
      <c r="W72" s="32">
        <v>1968</v>
      </c>
      <c r="X72" s="32" t="s">
        <v>0</v>
      </c>
      <c r="Y72" s="32" t="s">
        <v>28</v>
      </c>
      <c r="Z72" s="32" t="s">
        <v>5</v>
      </c>
      <c r="AA72" s="32">
        <v>2262</v>
      </c>
      <c r="AB72" s="102">
        <v>2</v>
      </c>
      <c r="AC72" s="36">
        <v>1</v>
      </c>
      <c r="AD72" s="32">
        <v>84.96</v>
      </c>
      <c r="AE72" s="32">
        <v>2006</v>
      </c>
      <c r="AF72" s="32" t="s">
        <v>385</v>
      </c>
      <c r="AG72" s="34"/>
      <c r="AH72" s="103" t="s">
        <v>386</v>
      </c>
      <c r="AI72" s="34" t="s">
        <v>387</v>
      </c>
      <c r="AJ72" s="32" t="s">
        <v>388</v>
      </c>
    </row>
    <row r="73" spans="1:36" x14ac:dyDescent="0.25">
      <c r="A73" s="32">
        <v>2</v>
      </c>
      <c r="B73" s="32" t="s">
        <v>304</v>
      </c>
      <c r="C73" s="32">
        <v>1</v>
      </c>
      <c r="D73" s="32" t="s">
        <v>389</v>
      </c>
      <c r="E73" s="32">
        <v>8</v>
      </c>
      <c r="F73" s="33"/>
      <c r="G73" s="32">
        <v>171.634951</v>
      </c>
      <c r="H73" s="34">
        <v>1.2296819999999999</v>
      </c>
      <c r="I73" s="34">
        <v>1.1896819999999999</v>
      </c>
      <c r="J73" s="34">
        <v>0.04</v>
      </c>
      <c r="K73" s="32">
        <v>4.9000000000000004</v>
      </c>
      <c r="L73" s="32" t="s">
        <v>140</v>
      </c>
      <c r="M73" s="32"/>
      <c r="N73" s="35">
        <v>4.0343898928800002</v>
      </c>
      <c r="O73" s="35">
        <v>3.9031562928799999</v>
      </c>
      <c r="P73" s="35">
        <v>0.13123360000000001</v>
      </c>
      <c r="Q73" s="35">
        <f t="shared" si="0"/>
        <v>1847.4614490689</v>
      </c>
      <c r="R73" s="32" t="s">
        <v>373</v>
      </c>
      <c r="S73" s="33" t="s">
        <v>390</v>
      </c>
      <c r="T73" s="38">
        <v>98500</v>
      </c>
      <c r="U73" s="34">
        <f>(AA73*AD73)+19780</f>
        <v>156440.48000000001</v>
      </c>
      <c r="V73" s="32">
        <v>2020</v>
      </c>
      <c r="W73" s="32">
        <v>1986</v>
      </c>
      <c r="X73" s="32" t="s">
        <v>0</v>
      </c>
      <c r="Y73" s="32" t="s">
        <v>28</v>
      </c>
      <c r="Z73" s="32" t="s">
        <v>203</v>
      </c>
      <c r="AA73" s="32">
        <v>1472</v>
      </c>
      <c r="AB73" s="102">
        <v>1</v>
      </c>
      <c r="AC73" s="41">
        <v>9</v>
      </c>
      <c r="AD73" s="32">
        <v>92.84</v>
      </c>
      <c r="AE73" s="32">
        <v>2006</v>
      </c>
      <c r="AF73" s="32" t="s">
        <v>385</v>
      </c>
      <c r="AG73" s="34"/>
      <c r="AH73" s="103" t="s">
        <v>391</v>
      </c>
      <c r="AI73" s="34" t="s">
        <v>392</v>
      </c>
      <c r="AJ73" s="32" t="s">
        <v>393</v>
      </c>
    </row>
    <row r="74" spans="1:36" x14ac:dyDescent="0.25">
      <c r="A74" s="32">
        <v>2</v>
      </c>
      <c r="B74" s="32" t="s">
        <v>304</v>
      </c>
      <c r="C74" s="32">
        <v>1</v>
      </c>
      <c r="D74" s="32" t="s">
        <v>394</v>
      </c>
      <c r="E74" s="32">
        <v>8</v>
      </c>
      <c r="F74" s="33"/>
      <c r="G74" s="32">
        <v>180.62040200000001</v>
      </c>
      <c r="H74" s="34">
        <v>1.3351409999999999</v>
      </c>
      <c r="I74" s="34">
        <v>1.1251409999999999</v>
      </c>
      <c r="J74" s="34">
        <v>0.21</v>
      </c>
      <c r="K74" s="32">
        <v>4.9000000000000004</v>
      </c>
      <c r="L74" s="32" t="s">
        <v>140</v>
      </c>
      <c r="M74" s="32"/>
      <c r="N74" s="35">
        <v>4.3803839984399993</v>
      </c>
      <c r="O74" s="35">
        <v>3.6914075984399997</v>
      </c>
      <c r="P74" s="35">
        <v>0.68897639999999993</v>
      </c>
      <c r="Q74" s="35">
        <f t="shared" si="0"/>
        <v>1944.1799450878</v>
      </c>
      <c r="R74" s="32" t="s">
        <v>373</v>
      </c>
      <c r="S74" s="33" t="s">
        <v>395</v>
      </c>
      <c r="T74" s="38">
        <v>272400</v>
      </c>
      <c r="U74" s="34">
        <f t="shared" ref="U74:U76" si="3">AA74*AD74</f>
        <v>350535.64409933035</v>
      </c>
      <c r="V74" s="32">
        <v>2020</v>
      </c>
      <c r="W74" s="32">
        <v>2019</v>
      </c>
      <c r="X74" s="32" t="s">
        <v>0</v>
      </c>
      <c r="Y74" s="32" t="s">
        <v>28</v>
      </c>
      <c r="Z74" s="32" t="s">
        <v>203</v>
      </c>
      <c r="AA74" s="32">
        <f>Q74*2</f>
        <v>3888.3598901756</v>
      </c>
      <c r="AB74" s="102">
        <v>2</v>
      </c>
      <c r="AC74" s="41">
        <v>9</v>
      </c>
      <c r="AD74" s="32">
        <v>90.15</v>
      </c>
      <c r="AE74" s="32">
        <v>2006</v>
      </c>
      <c r="AF74" s="32"/>
      <c r="AG74" s="34"/>
      <c r="AH74" s="103" t="s">
        <v>396</v>
      </c>
      <c r="AI74" s="34" t="s">
        <v>397</v>
      </c>
      <c r="AJ74" s="32" t="s">
        <v>398</v>
      </c>
    </row>
    <row r="75" spans="1:36" x14ac:dyDescent="0.25">
      <c r="A75" s="32">
        <v>2</v>
      </c>
      <c r="B75" s="32" t="s">
        <v>304</v>
      </c>
      <c r="C75" s="32">
        <v>1</v>
      </c>
      <c r="D75" s="32" t="s">
        <v>399</v>
      </c>
      <c r="E75" s="32">
        <v>8</v>
      </c>
      <c r="F75" s="33"/>
      <c r="G75" s="32">
        <v>188.050149</v>
      </c>
      <c r="H75" s="34">
        <v>1.11683</v>
      </c>
      <c r="I75" s="34">
        <v>0.90683000000000002</v>
      </c>
      <c r="J75" s="34">
        <v>0.21</v>
      </c>
      <c r="K75" s="32">
        <v>4.9000000000000004</v>
      </c>
      <c r="L75" s="32" t="s">
        <v>140</v>
      </c>
      <c r="M75" s="32"/>
      <c r="N75" s="35">
        <v>3.6641405371999998</v>
      </c>
      <c r="O75" s="35">
        <v>2.9751641372000002</v>
      </c>
      <c r="P75" s="35">
        <v>0.68897639999999993</v>
      </c>
      <c r="Q75" s="35">
        <f t="shared" si="0"/>
        <v>2024.1529988211</v>
      </c>
      <c r="R75" s="32" t="s">
        <v>373</v>
      </c>
      <c r="S75" s="33" t="s">
        <v>400</v>
      </c>
      <c r="T75" s="38">
        <v>195000</v>
      </c>
      <c r="U75" s="34">
        <f>(AA75*AD75)+19780</f>
        <v>206390.5</v>
      </c>
      <c r="V75" s="32">
        <v>2020</v>
      </c>
      <c r="W75" s="32">
        <v>1990</v>
      </c>
      <c r="X75" s="32" t="s">
        <v>0</v>
      </c>
      <c r="Y75" s="32" t="s">
        <v>28</v>
      </c>
      <c r="Z75" s="32" t="s">
        <v>203</v>
      </c>
      <c r="AA75" s="32">
        <v>2070</v>
      </c>
      <c r="AB75" s="102">
        <v>2</v>
      </c>
      <c r="AC75" s="41">
        <v>9</v>
      </c>
      <c r="AD75" s="32">
        <v>90.15</v>
      </c>
      <c r="AE75" s="32">
        <v>2006</v>
      </c>
      <c r="AF75" s="32" t="s">
        <v>385</v>
      </c>
      <c r="AG75" s="34"/>
      <c r="AH75" s="103" t="s">
        <v>401</v>
      </c>
      <c r="AI75" s="34" t="s">
        <v>392</v>
      </c>
      <c r="AJ75" s="32" t="s">
        <v>402</v>
      </c>
    </row>
    <row r="76" spans="1:36" x14ac:dyDescent="0.25">
      <c r="A76" s="32">
        <v>2</v>
      </c>
      <c r="B76" s="32" t="s">
        <v>304</v>
      </c>
      <c r="C76" s="32">
        <v>1</v>
      </c>
      <c r="D76" s="32" t="s">
        <v>403</v>
      </c>
      <c r="E76" s="32">
        <v>8</v>
      </c>
      <c r="F76" s="33"/>
      <c r="G76" s="32">
        <v>112.582832</v>
      </c>
      <c r="H76" s="34">
        <v>1.1331979999999999</v>
      </c>
      <c r="I76" s="34">
        <v>1.0931979999999999</v>
      </c>
      <c r="J76" s="34">
        <v>0.04</v>
      </c>
      <c r="K76" s="32">
        <v>4.9000000000000004</v>
      </c>
      <c r="L76" s="32" t="s">
        <v>140</v>
      </c>
      <c r="M76" s="32"/>
      <c r="N76" s="35">
        <v>3.7178413263199999</v>
      </c>
      <c r="O76" s="35">
        <v>3.5866077263199996</v>
      </c>
      <c r="P76" s="35">
        <v>0.13123360000000001</v>
      </c>
      <c r="Q76" s="35">
        <f t="shared" si="0"/>
        <v>1211.8303453648</v>
      </c>
      <c r="R76" s="32" t="s">
        <v>373</v>
      </c>
      <c r="S76" s="33" t="s">
        <v>404</v>
      </c>
      <c r="T76" s="32">
        <v>0</v>
      </c>
      <c r="U76" s="34">
        <f t="shared" si="3"/>
        <v>0</v>
      </c>
      <c r="V76" s="32">
        <v>2020</v>
      </c>
      <c r="W76" s="32">
        <v>1962</v>
      </c>
      <c r="X76" s="32" t="s">
        <v>0</v>
      </c>
      <c r="Y76" s="32" t="s">
        <v>28</v>
      </c>
      <c r="Z76" s="32"/>
      <c r="AA76" s="32">
        <v>0</v>
      </c>
      <c r="AB76" s="102">
        <v>0</v>
      </c>
      <c r="AC76" s="36">
        <v>0</v>
      </c>
      <c r="AD76" s="32">
        <v>0</v>
      </c>
      <c r="AE76" s="32">
        <v>2006</v>
      </c>
      <c r="AF76" s="32"/>
      <c r="AG76" s="34"/>
      <c r="AH76" s="103" t="s">
        <v>405</v>
      </c>
      <c r="AI76" s="34" t="s">
        <v>406</v>
      </c>
      <c r="AJ76" s="32" t="s">
        <v>407</v>
      </c>
    </row>
    <row r="77" spans="1:36" x14ac:dyDescent="0.25">
      <c r="A77" s="32">
        <v>2</v>
      </c>
      <c r="B77" s="32" t="s">
        <v>304</v>
      </c>
      <c r="C77" s="32">
        <v>1</v>
      </c>
      <c r="D77" s="32" t="s">
        <v>408</v>
      </c>
      <c r="E77" s="32">
        <v>8</v>
      </c>
      <c r="F77" s="33"/>
      <c r="G77" s="32">
        <v>190.41475</v>
      </c>
      <c r="H77" s="34">
        <v>0.87833399999999995</v>
      </c>
      <c r="I77" s="34">
        <v>0.67833399999999999</v>
      </c>
      <c r="J77" s="34">
        <v>0.2</v>
      </c>
      <c r="K77" s="32">
        <v>4.9000000000000004</v>
      </c>
      <c r="L77" s="32" t="s">
        <v>140</v>
      </c>
      <c r="M77" s="32"/>
      <c r="N77" s="35">
        <v>2.88167332056</v>
      </c>
      <c r="O77" s="35">
        <v>2.2255053205599999</v>
      </c>
      <c r="P77" s="35">
        <v>0.65616800000000008</v>
      </c>
      <c r="Q77" s="35">
        <f t="shared" si="0"/>
        <v>2049.6053275250001</v>
      </c>
      <c r="R77" s="32" t="s">
        <v>373</v>
      </c>
      <c r="S77" s="33" t="s">
        <v>428</v>
      </c>
      <c r="T77" s="38">
        <v>199400</v>
      </c>
      <c r="U77" s="34">
        <f>(AA77*AD77)+12600</f>
        <v>216699.6</v>
      </c>
      <c r="V77" s="32">
        <v>2020</v>
      </c>
      <c r="W77" s="32">
        <v>1976</v>
      </c>
      <c r="X77" s="32" t="s">
        <v>0</v>
      </c>
      <c r="Y77" s="32" t="s">
        <v>28</v>
      </c>
      <c r="Z77" s="32" t="s">
        <v>5</v>
      </c>
      <c r="AA77" s="32">
        <v>2264</v>
      </c>
      <c r="AB77" s="102">
        <v>2</v>
      </c>
      <c r="AC77" s="36">
        <v>1</v>
      </c>
      <c r="AD77" s="32">
        <v>90.15</v>
      </c>
      <c r="AE77" s="32">
        <v>2006</v>
      </c>
      <c r="AF77" s="32" t="s">
        <v>375</v>
      </c>
      <c r="AG77" s="34"/>
      <c r="AH77" s="103" t="s">
        <v>409</v>
      </c>
      <c r="AI77" s="34" t="s">
        <v>410</v>
      </c>
      <c r="AJ77" s="32" t="s">
        <v>411</v>
      </c>
    </row>
    <row r="78" spans="1:36" x14ac:dyDescent="0.25">
      <c r="A78" s="32">
        <v>2</v>
      </c>
      <c r="B78" s="32" t="s">
        <v>304</v>
      </c>
      <c r="C78" s="32">
        <v>1</v>
      </c>
      <c r="D78" s="32" t="s">
        <v>412</v>
      </c>
      <c r="E78" s="32">
        <v>8</v>
      </c>
      <c r="F78" s="33"/>
      <c r="G78" s="32">
        <v>136.45407399999999</v>
      </c>
      <c r="H78" s="34">
        <v>1.0384469999999999</v>
      </c>
      <c r="I78" s="34">
        <v>0.81844700000000004</v>
      </c>
      <c r="J78" s="34">
        <v>0.22</v>
      </c>
      <c r="K78" s="32">
        <v>4.9000000000000004</v>
      </c>
      <c r="L78" s="32" t="s">
        <v>140</v>
      </c>
      <c r="M78" s="32"/>
      <c r="N78" s="35">
        <v>3.4069784554799996</v>
      </c>
      <c r="O78" s="35">
        <v>2.68519365548</v>
      </c>
      <c r="P78" s="35">
        <v>0.7217848</v>
      </c>
      <c r="Q78" s="35">
        <f t="shared" si="0"/>
        <v>1468.7780071285999</v>
      </c>
      <c r="R78" s="32" t="s">
        <v>373</v>
      </c>
      <c r="S78" s="33" t="s">
        <v>413</v>
      </c>
      <c r="T78" s="38">
        <v>230100</v>
      </c>
      <c r="U78" s="34">
        <f>(AA78*AD78)+12600</f>
        <v>167207.25</v>
      </c>
      <c r="V78" s="32">
        <v>2020</v>
      </c>
      <c r="W78" s="32">
        <v>2016</v>
      </c>
      <c r="X78" s="32" t="s">
        <v>0</v>
      </c>
      <c r="Y78" s="32" t="s">
        <v>28</v>
      </c>
      <c r="Z78" s="32" t="s">
        <v>203</v>
      </c>
      <c r="AA78" s="32">
        <v>1715</v>
      </c>
      <c r="AB78" s="102">
        <v>2</v>
      </c>
      <c r="AC78" s="36">
        <v>9</v>
      </c>
      <c r="AD78" s="32">
        <v>90.15</v>
      </c>
      <c r="AE78" s="32">
        <v>2006</v>
      </c>
      <c r="AF78" s="32" t="s">
        <v>375</v>
      </c>
      <c r="AG78" s="34"/>
      <c r="AH78" s="103" t="s">
        <v>414</v>
      </c>
      <c r="AI78" s="34" t="s">
        <v>415</v>
      </c>
      <c r="AJ78" s="32" t="s">
        <v>416</v>
      </c>
    </row>
    <row r="79" spans="1:36" x14ac:dyDescent="0.25">
      <c r="A79" s="32">
        <v>20</v>
      </c>
      <c r="B79" s="32" t="s">
        <v>304</v>
      </c>
      <c r="C79" s="32">
        <v>1</v>
      </c>
      <c r="D79" s="32" t="s">
        <v>384</v>
      </c>
      <c r="E79" s="32">
        <v>8</v>
      </c>
      <c r="F79" s="33"/>
      <c r="G79" s="32">
        <v>180.902252</v>
      </c>
      <c r="H79" s="34">
        <v>1.9232800000000001</v>
      </c>
      <c r="I79" s="34">
        <v>1.9032800000000001</v>
      </c>
      <c r="J79" s="34">
        <v>0.02</v>
      </c>
      <c r="K79" s="32">
        <v>4.9000000000000004</v>
      </c>
      <c r="L79" s="32" t="s">
        <v>140</v>
      </c>
      <c r="M79" s="32"/>
      <c r="N79" s="35">
        <v>6.3099739552000003</v>
      </c>
      <c r="O79" s="35">
        <v>6.2443571552000003</v>
      </c>
      <c r="P79" s="35">
        <v>6.5616800000000003E-2</v>
      </c>
      <c r="Q79" s="35">
        <f t="shared" si="0"/>
        <v>1947.2137503028</v>
      </c>
      <c r="R79" s="32" t="s">
        <v>373</v>
      </c>
      <c r="S79" s="33" t="s">
        <v>427</v>
      </c>
      <c r="T79" s="38">
        <v>111700</v>
      </c>
      <c r="U79" s="34">
        <f>(AA79*AD79)+19780</f>
        <v>211959.52</v>
      </c>
      <c r="V79" s="32">
        <v>2020</v>
      </c>
      <c r="W79" s="32">
        <v>1968</v>
      </c>
      <c r="X79" s="32" t="s">
        <v>0</v>
      </c>
      <c r="Y79" s="32" t="s">
        <v>28</v>
      </c>
      <c r="Z79" s="32" t="s">
        <v>5</v>
      </c>
      <c r="AA79" s="32">
        <v>2262</v>
      </c>
      <c r="AB79" s="102">
        <v>2</v>
      </c>
      <c r="AC79" s="36">
        <v>1</v>
      </c>
      <c r="AD79" s="32">
        <v>84.96</v>
      </c>
      <c r="AE79" s="32">
        <v>2006</v>
      </c>
      <c r="AF79" s="32" t="s">
        <v>385</v>
      </c>
      <c r="AG79" s="34"/>
      <c r="AH79" s="103" t="s">
        <v>386</v>
      </c>
      <c r="AI79" s="34" t="s">
        <v>387</v>
      </c>
      <c r="AJ79" s="32" t="s">
        <v>388</v>
      </c>
    </row>
    <row r="80" spans="1:36" x14ac:dyDescent="0.25">
      <c r="A80" s="32">
        <v>20</v>
      </c>
      <c r="B80" s="32" t="s">
        <v>304</v>
      </c>
      <c r="C80" s="32">
        <v>1</v>
      </c>
      <c r="D80" s="32" t="s">
        <v>394</v>
      </c>
      <c r="E80" s="32">
        <v>8</v>
      </c>
      <c r="F80" s="33"/>
      <c r="G80" s="32">
        <v>180.62040200000001</v>
      </c>
      <c r="H80" s="34">
        <v>2.3571409999999999</v>
      </c>
      <c r="I80" s="34">
        <v>2.2971409999999999</v>
      </c>
      <c r="J80" s="34">
        <v>0.06</v>
      </c>
      <c r="K80" s="32">
        <v>4.9000000000000004</v>
      </c>
      <c r="L80" s="32" t="s">
        <v>140</v>
      </c>
      <c r="M80" s="32"/>
      <c r="N80" s="35">
        <v>7.7334024784399995</v>
      </c>
      <c r="O80" s="35">
        <v>7.5365520784399997</v>
      </c>
      <c r="P80" s="35">
        <v>0.19685039999999998</v>
      </c>
      <c r="Q80" s="35">
        <f t="shared" si="0"/>
        <v>1944.1799450878</v>
      </c>
      <c r="R80" s="32" t="s">
        <v>373</v>
      </c>
      <c r="S80" s="33" t="s">
        <v>395</v>
      </c>
      <c r="T80" s="38">
        <v>272400</v>
      </c>
      <c r="U80" s="34">
        <f t="shared" ref="U80" si="4">AA80*AD80</f>
        <v>350535.64409933035</v>
      </c>
      <c r="V80" s="32">
        <v>2020</v>
      </c>
      <c r="W80" s="32">
        <v>2019</v>
      </c>
      <c r="X80" s="32" t="s">
        <v>0</v>
      </c>
      <c r="Y80" s="32" t="s">
        <v>28</v>
      </c>
      <c r="Z80" s="32" t="s">
        <v>203</v>
      </c>
      <c r="AA80" s="32">
        <f>Q80*2</f>
        <v>3888.3598901756</v>
      </c>
      <c r="AB80" s="102">
        <v>2</v>
      </c>
      <c r="AC80" s="36">
        <v>9</v>
      </c>
      <c r="AD80" s="32">
        <v>90.15</v>
      </c>
      <c r="AE80" s="32">
        <v>2006</v>
      </c>
      <c r="AF80" s="32"/>
      <c r="AG80" s="34"/>
      <c r="AH80" s="103" t="s">
        <v>396</v>
      </c>
      <c r="AI80" s="34" t="s">
        <v>397</v>
      </c>
      <c r="AJ80" s="32" t="s">
        <v>398</v>
      </c>
    </row>
    <row r="81" spans="1:36" x14ac:dyDescent="0.25">
      <c r="A81" s="32">
        <v>20</v>
      </c>
      <c r="B81" s="32" t="s">
        <v>304</v>
      </c>
      <c r="C81" s="32">
        <v>1</v>
      </c>
      <c r="D81" s="32" t="s">
        <v>399</v>
      </c>
      <c r="E81" s="32">
        <v>8</v>
      </c>
      <c r="F81" s="33"/>
      <c r="G81" s="32">
        <v>188.050149</v>
      </c>
      <c r="H81" s="34">
        <v>2.13883</v>
      </c>
      <c r="I81" s="34">
        <v>2.07883</v>
      </c>
      <c r="J81" s="34">
        <v>0.06</v>
      </c>
      <c r="K81" s="32">
        <v>4.9000000000000004</v>
      </c>
      <c r="L81" s="32" t="s">
        <v>140</v>
      </c>
      <c r="M81" s="32"/>
      <c r="N81" s="35">
        <v>7.0171590172</v>
      </c>
      <c r="O81" s="35">
        <v>6.8203086171999994</v>
      </c>
      <c r="P81" s="35">
        <v>0.19685039999999998</v>
      </c>
      <c r="Q81" s="35">
        <f t="shared" si="0"/>
        <v>2024.1529988211</v>
      </c>
      <c r="R81" s="32" t="s">
        <v>373</v>
      </c>
      <c r="S81" s="33" t="s">
        <v>400</v>
      </c>
      <c r="T81" s="38">
        <v>195000</v>
      </c>
      <c r="U81" s="34">
        <f>(AA81*AD81)+19780</f>
        <v>206390.5</v>
      </c>
      <c r="V81" s="32">
        <v>2020</v>
      </c>
      <c r="W81" s="32">
        <v>1990</v>
      </c>
      <c r="X81" s="32" t="s">
        <v>0</v>
      </c>
      <c r="Y81" s="32" t="s">
        <v>28</v>
      </c>
      <c r="Z81" s="32" t="s">
        <v>203</v>
      </c>
      <c r="AA81" s="32">
        <v>2070</v>
      </c>
      <c r="AB81" s="102">
        <v>2</v>
      </c>
      <c r="AC81" s="41">
        <v>9</v>
      </c>
      <c r="AD81" s="32">
        <v>90.15</v>
      </c>
      <c r="AE81" s="32">
        <v>2006</v>
      </c>
      <c r="AF81" s="32" t="s">
        <v>385</v>
      </c>
      <c r="AG81" s="34"/>
      <c r="AH81" s="103" t="s">
        <v>401</v>
      </c>
      <c r="AI81" s="34" t="s">
        <v>392</v>
      </c>
      <c r="AJ81" s="32" t="s">
        <v>402</v>
      </c>
    </row>
    <row r="82" spans="1:36" x14ac:dyDescent="0.25">
      <c r="A82" s="32">
        <v>20</v>
      </c>
      <c r="B82" s="32" t="s">
        <v>304</v>
      </c>
      <c r="C82" s="32">
        <v>1</v>
      </c>
      <c r="D82" s="32" t="s">
        <v>408</v>
      </c>
      <c r="E82" s="32">
        <v>8</v>
      </c>
      <c r="F82" s="33"/>
      <c r="G82" s="32">
        <v>190.41475</v>
      </c>
      <c r="H82" s="34">
        <v>1.900334</v>
      </c>
      <c r="I82" s="34">
        <v>1.8403350000000001</v>
      </c>
      <c r="J82" s="34">
        <v>0.06</v>
      </c>
      <c r="K82" s="32">
        <v>4.9000000000000004</v>
      </c>
      <c r="L82" s="32" t="s">
        <v>140</v>
      </c>
      <c r="M82" s="32"/>
      <c r="N82" s="35">
        <v>6.2346918005600003</v>
      </c>
      <c r="O82" s="35">
        <v>6.0378446814000002</v>
      </c>
      <c r="P82" s="35">
        <v>0.19685039999999998</v>
      </c>
      <c r="Q82" s="35">
        <f t="shared" si="0"/>
        <v>2049.6053275250001</v>
      </c>
      <c r="R82" s="32" t="s">
        <v>373</v>
      </c>
      <c r="S82" s="33" t="s">
        <v>428</v>
      </c>
      <c r="T82" s="38">
        <v>199400</v>
      </c>
      <c r="U82" s="34">
        <f>(AA82*AD82)+12600</f>
        <v>216699.6</v>
      </c>
      <c r="V82" s="32">
        <v>2020</v>
      </c>
      <c r="W82" s="32">
        <v>1976</v>
      </c>
      <c r="X82" s="32" t="s">
        <v>0</v>
      </c>
      <c r="Y82" s="32" t="s">
        <v>28</v>
      </c>
      <c r="Z82" s="32" t="s">
        <v>5</v>
      </c>
      <c r="AA82" s="32">
        <v>2264</v>
      </c>
      <c r="AB82" s="102">
        <v>2</v>
      </c>
      <c r="AC82" s="36">
        <v>1</v>
      </c>
      <c r="AD82" s="32">
        <v>90.15</v>
      </c>
      <c r="AE82" s="32">
        <v>2006</v>
      </c>
      <c r="AF82" s="32" t="s">
        <v>375</v>
      </c>
      <c r="AG82" s="34"/>
      <c r="AH82" s="103" t="s">
        <v>409</v>
      </c>
      <c r="AI82" s="34" t="s">
        <v>410</v>
      </c>
      <c r="AJ82" s="32" t="s">
        <v>411</v>
      </c>
    </row>
    <row r="83" spans="1:36" x14ac:dyDescent="0.25">
      <c r="A83" s="32">
        <v>20</v>
      </c>
      <c r="B83" s="32" t="s">
        <v>304</v>
      </c>
      <c r="C83" s="32">
        <v>1</v>
      </c>
      <c r="D83" s="32" t="s">
        <v>412</v>
      </c>
      <c r="E83" s="32">
        <v>8</v>
      </c>
      <c r="F83" s="33"/>
      <c r="G83" s="32">
        <v>136.45407399999999</v>
      </c>
      <c r="H83" s="34">
        <v>2.0604469999999999</v>
      </c>
      <c r="I83" s="34">
        <v>1.9904470000000001</v>
      </c>
      <c r="J83" s="34">
        <v>7.0000000000000007E-2</v>
      </c>
      <c r="K83" s="32">
        <v>4.9000000000000004</v>
      </c>
      <c r="L83" s="32" t="s">
        <v>140</v>
      </c>
      <c r="M83" s="32"/>
      <c r="N83" s="35">
        <v>6.7599969354799994</v>
      </c>
      <c r="O83" s="35">
        <v>6.5303381354800001</v>
      </c>
      <c r="P83" s="35">
        <v>0.22965880000000002</v>
      </c>
      <c r="Q83" s="35">
        <f t="shared" si="0"/>
        <v>1468.7780071285999</v>
      </c>
      <c r="R83" s="32" t="s">
        <v>373</v>
      </c>
      <c r="S83" s="33" t="s">
        <v>413</v>
      </c>
      <c r="T83" s="38">
        <v>230100</v>
      </c>
      <c r="U83" s="34">
        <f>(AA83*AD83)+12600</f>
        <v>167207.25</v>
      </c>
      <c r="V83" s="32">
        <v>2020</v>
      </c>
      <c r="W83" s="32">
        <v>2016</v>
      </c>
      <c r="X83" s="32" t="s">
        <v>0</v>
      </c>
      <c r="Y83" s="32" t="s">
        <v>28</v>
      </c>
      <c r="Z83" s="32" t="s">
        <v>203</v>
      </c>
      <c r="AA83" s="32">
        <v>1715</v>
      </c>
      <c r="AB83" s="102">
        <v>2</v>
      </c>
      <c r="AC83" s="36">
        <v>9</v>
      </c>
      <c r="AD83" s="32">
        <v>90.15</v>
      </c>
      <c r="AE83" s="32">
        <v>2006</v>
      </c>
      <c r="AF83" s="32" t="s">
        <v>375</v>
      </c>
      <c r="AG83" s="34"/>
      <c r="AH83" s="103" t="s">
        <v>414</v>
      </c>
      <c r="AI83" s="34" t="s">
        <v>415</v>
      </c>
      <c r="AJ83" s="32" t="s">
        <v>416</v>
      </c>
    </row>
    <row r="84" spans="1:36" x14ac:dyDescent="0.25">
      <c r="A84" s="32">
        <v>100</v>
      </c>
      <c r="B84" s="32" t="s">
        <v>304</v>
      </c>
      <c r="C84" s="32">
        <v>1</v>
      </c>
      <c r="D84" s="32" t="s">
        <v>384</v>
      </c>
      <c r="E84" s="32">
        <v>8</v>
      </c>
      <c r="F84" s="33"/>
      <c r="G84" s="32">
        <v>180.902252</v>
      </c>
      <c r="H84" s="34">
        <v>2.6572789999999999</v>
      </c>
      <c r="I84" s="34">
        <v>2.6472799999999999</v>
      </c>
      <c r="J84" s="34">
        <v>0.01</v>
      </c>
      <c r="K84" s="32">
        <v>4.9000000000000004</v>
      </c>
      <c r="L84" s="32" t="s">
        <v>140</v>
      </c>
      <c r="M84" s="32"/>
      <c r="N84" s="35">
        <v>8.7181072343599997</v>
      </c>
      <c r="O84" s="35">
        <v>8.685302115199999</v>
      </c>
      <c r="P84" s="35">
        <v>3.2808400000000001E-2</v>
      </c>
      <c r="Q84" s="35">
        <f t="shared" si="0"/>
        <v>1947.2137503028</v>
      </c>
      <c r="R84" s="32" t="s">
        <v>373</v>
      </c>
      <c r="S84" s="33" t="s">
        <v>427</v>
      </c>
      <c r="T84" s="38">
        <v>111700</v>
      </c>
      <c r="U84" s="34">
        <f>(AA84*AD84)+19780</f>
        <v>211959.52</v>
      </c>
      <c r="V84" s="32">
        <v>2020</v>
      </c>
      <c r="W84" s="32">
        <v>1968</v>
      </c>
      <c r="X84" s="32" t="s">
        <v>0</v>
      </c>
      <c r="Y84" s="32" t="s">
        <v>28</v>
      </c>
      <c r="Z84" s="32" t="s">
        <v>5</v>
      </c>
      <c r="AA84" s="32">
        <v>2262</v>
      </c>
      <c r="AB84" s="102">
        <v>2</v>
      </c>
      <c r="AC84" s="36">
        <v>1</v>
      </c>
      <c r="AD84" s="32">
        <v>84.96</v>
      </c>
      <c r="AE84" s="32">
        <v>2006</v>
      </c>
      <c r="AF84" s="32" t="s">
        <v>385</v>
      </c>
      <c r="AG84" s="34"/>
      <c r="AH84" s="103" t="s">
        <v>386</v>
      </c>
      <c r="AI84" s="34" t="s">
        <v>387</v>
      </c>
      <c r="AJ84" s="32" t="s">
        <v>388</v>
      </c>
    </row>
    <row r="85" spans="1:36" x14ac:dyDescent="0.25">
      <c r="A85" s="32">
        <v>100</v>
      </c>
      <c r="B85" s="32" t="s">
        <v>304</v>
      </c>
      <c r="C85" s="32">
        <v>1</v>
      </c>
      <c r="D85" s="32" t="s">
        <v>394</v>
      </c>
      <c r="E85" s="32">
        <v>8</v>
      </c>
      <c r="F85" s="33"/>
      <c r="G85" s="32">
        <v>180.62040200000001</v>
      </c>
      <c r="H85" s="34">
        <v>3.0911409999999999</v>
      </c>
      <c r="I85" s="34">
        <v>3.0711409999999999</v>
      </c>
      <c r="J85" s="34">
        <v>0.02</v>
      </c>
      <c r="K85" s="32">
        <v>4.9000000000000004</v>
      </c>
      <c r="L85" s="32" t="s">
        <v>140</v>
      </c>
      <c r="M85" s="32"/>
      <c r="N85" s="35">
        <v>10.141539038439999</v>
      </c>
      <c r="O85" s="35">
        <v>10.07592223844</v>
      </c>
      <c r="P85" s="35">
        <v>6.5616800000000003E-2</v>
      </c>
      <c r="Q85" s="35">
        <f t="shared" si="0"/>
        <v>1944.1799450878</v>
      </c>
      <c r="R85" s="32" t="s">
        <v>373</v>
      </c>
      <c r="S85" s="33" t="s">
        <v>395</v>
      </c>
      <c r="T85" s="38">
        <v>272400</v>
      </c>
      <c r="U85" s="34">
        <f t="shared" ref="U85" si="5">AA85*AD85</f>
        <v>350535.64409933035</v>
      </c>
      <c r="V85" s="32">
        <v>2020</v>
      </c>
      <c r="W85" s="32">
        <v>2019</v>
      </c>
      <c r="X85" s="32" t="s">
        <v>0</v>
      </c>
      <c r="Y85" s="32" t="s">
        <v>28</v>
      </c>
      <c r="Z85" s="32" t="s">
        <v>203</v>
      </c>
      <c r="AA85" s="32">
        <f>Q85*2</f>
        <v>3888.3598901756</v>
      </c>
      <c r="AB85" s="102">
        <v>2</v>
      </c>
      <c r="AC85" s="36">
        <v>9</v>
      </c>
      <c r="AD85" s="32">
        <v>90.15</v>
      </c>
      <c r="AE85" s="32">
        <v>2006</v>
      </c>
      <c r="AF85" s="32"/>
      <c r="AG85" s="34"/>
      <c r="AH85" s="103" t="s">
        <v>396</v>
      </c>
      <c r="AI85" s="34" t="s">
        <v>397</v>
      </c>
      <c r="AJ85" s="32" t="s">
        <v>398</v>
      </c>
    </row>
    <row r="86" spans="1:36" x14ac:dyDescent="0.25">
      <c r="A86" s="32">
        <v>100</v>
      </c>
      <c r="B86" s="32" t="s">
        <v>304</v>
      </c>
      <c r="C86" s="32">
        <v>1</v>
      </c>
      <c r="D86" s="32" t="s">
        <v>399</v>
      </c>
      <c r="E86" s="32">
        <v>8</v>
      </c>
      <c r="F86" s="33"/>
      <c r="G86" s="32">
        <v>188.050149</v>
      </c>
      <c r="H86" s="34">
        <v>2.87283</v>
      </c>
      <c r="I86" s="34">
        <v>2.85283</v>
      </c>
      <c r="J86" s="34">
        <v>0.02</v>
      </c>
      <c r="K86" s="32">
        <v>4.9000000000000004</v>
      </c>
      <c r="L86" s="32" t="s">
        <v>140</v>
      </c>
      <c r="M86" s="32"/>
      <c r="N86" s="35">
        <v>9.4252955772</v>
      </c>
      <c r="O86" s="35">
        <v>9.3596787771999992</v>
      </c>
      <c r="P86" s="35">
        <v>6.5616800000000003E-2</v>
      </c>
      <c r="Q86" s="35">
        <f t="shared" si="0"/>
        <v>2024.1529988211</v>
      </c>
      <c r="R86" s="32" t="s">
        <v>373</v>
      </c>
      <c r="S86" s="33" t="s">
        <v>400</v>
      </c>
      <c r="T86" s="38">
        <v>195000</v>
      </c>
      <c r="U86" s="34">
        <f>(AA86*AD86)+19780</f>
        <v>206390.5</v>
      </c>
      <c r="V86" s="32">
        <v>2020</v>
      </c>
      <c r="W86" s="32">
        <v>1990</v>
      </c>
      <c r="X86" s="32" t="s">
        <v>0</v>
      </c>
      <c r="Y86" s="32" t="s">
        <v>28</v>
      </c>
      <c r="Z86" s="32" t="s">
        <v>203</v>
      </c>
      <c r="AA86" s="32">
        <v>2070</v>
      </c>
      <c r="AB86" s="102">
        <v>2</v>
      </c>
      <c r="AC86" s="41">
        <v>9</v>
      </c>
      <c r="AD86" s="32">
        <v>90.15</v>
      </c>
      <c r="AE86" s="32">
        <v>2006</v>
      </c>
      <c r="AF86" s="32" t="s">
        <v>385</v>
      </c>
      <c r="AG86" s="34"/>
      <c r="AH86" s="103" t="s">
        <v>401</v>
      </c>
      <c r="AI86" s="34" t="s">
        <v>392</v>
      </c>
      <c r="AJ86" s="32" t="s">
        <v>402</v>
      </c>
    </row>
    <row r="87" spans="1:36" x14ac:dyDescent="0.25">
      <c r="A87" s="32">
        <v>100</v>
      </c>
      <c r="B87" s="32" t="s">
        <v>304</v>
      </c>
      <c r="C87" s="32">
        <v>1</v>
      </c>
      <c r="D87" s="32" t="s">
        <v>408</v>
      </c>
      <c r="E87" s="32">
        <v>8</v>
      </c>
      <c r="F87" s="33"/>
      <c r="G87" s="32">
        <v>190.41475</v>
      </c>
      <c r="H87" s="34">
        <v>2.634334</v>
      </c>
      <c r="I87" s="34">
        <v>2.6143339999999999</v>
      </c>
      <c r="J87" s="34">
        <v>0.02</v>
      </c>
      <c r="K87" s="32">
        <v>4.9000000000000004</v>
      </c>
      <c r="L87" s="32" t="s">
        <v>140</v>
      </c>
      <c r="M87" s="32"/>
      <c r="N87" s="35">
        <v>8.6428283605599994</v>
      </c>
      <c r="O87" s="35">
        <v>8.5772115605600003</v>
      </c>
      <c r="P87" s="35">
        <v>6.5616800000000003E-2</v>
      </c>
      <c r="Q87" s="35">
        <f t="shared" si="0"/>
        <v>2049.6053275250001</v>
      </c>
      <c r="R87" s="32" t="s">
        <v>373</v>
      </c>
      <c r="S87" s="33" t="s">
        <v>428</v>
      </c>
      <c r="T87" s="38">
        <v>199400</v>
      </c>
      <c r="U87" s="34">
        <f>(AA87*AD87)+12600</f>
        <v>216699.6</v>
      </c>
      <c r="V87" s="32">
        <v>2020</v>
      </c>
      <c r="W87" s="32">
        <v>1976</v>
      </c>
      <c r="X87" s="32" t="s">
        <v>0</v>
      </c>
      <c r="Y87" s="32" t="s">
        <v>28</v>
      </c>
      <c r="Z87" s="32" t="s">
        <v>5</v>
      </c>
      <c r="AA87" s="32">
        <v>2264</v>
      </c>
      <c r="AB87" s="102">
        <v>2</v>
      </c>
      <c r="AC87" s="36">
        <v>1</v>
      </c>
      <c r="AD87" s="32">
        <v>90.15</v>
      </c>
      <c r="AE87" s="32">
        <v>2006</v>
      </c>
      <c r="AF87" s="32" t="s">
        <v>375</v>
      </c>
      <c r="AG87" s="34"/>
      <c r="AH87" s="103" t="s">
        <v>409</v>
      </c>
      <c r="AI87" s="34" t="s">
        <v>410</v>
      </c>
      <c r="AJ87" s="32" t="s">
        <v>411</v>
      </c>
    </row>
    <row r="88" spans="1:36" x14ac:dyDescent="0.25">
      <c r="A88" s="32">
        <v>100</v>
      </c>
      <c r="B88" s="32" t="s">
        <v>304</v>
      </c>
      <c r="C88" s="32">
        <v>1</v>
      </c>
      <c r="D88" s="32" t="s">
        <v>412</v>
      </c>
      <c r="E88" s="32">
        <v>8</v>
      </c>
      <c r="F88" s="33"/>
      <c r="G88" s="32">
        <v>136.45407399999999</v>
      </c>
      <c r="H88" s="34">
        <v>2.7944469999999999</v>
      </c>
      <c r="I88" s="34">
        <v>2.7744469999999999</v>
      </c>
      <c r="J88" s="34">
        <v>0.02</v>
      </c>
      <c r="K88" s="32">
        <v>4.9000000000000004</v>
      </c>
      <c r="L88" s="32" t="s">
        <v>140</v>
      </c>
      <c r="M88" s="32"/>
      <c r="N88" s="35">
        <v>9.1681334954799993</v>
      </c>
      <c r="O88" s="35">
        <v>9.1025166954800003</v>
      </c>
      <c r="P88" s="35">
        <v>6.5616800000000003E-2</v>
      </c>
      <c r="Q88" s="35">
        <f t="shared" si="0"/>
        <v>1468.7780071285999</v>
      </c>
      <c r="R88" s="32" t="s">
        <v>373</v>
      </c>
      <c r="S88" s="33" t="s">
        <v>413</v>
      </c>
      <c r="T88" s="38">
        <v>230100</v>
      </c>
      <c r="U88" s="34">
        <f>(AA88*AD88)+12600</f>
        <v>167207.25</v>
      </c>
      <c r="V88" s="32">
        <v>2020</v>
      </c>
      <c r="W88" s="32">
        <v>2016</v>
      </c>
      <c r="X88" s="32" t="s">
        <v>0</v>
      </c>
      <c r="Y88" s="32" t="s">
        <v>28</v>
      </c>
      <c r="Z88" s="32" t="s">
        <v>203</v>
      </c>
      <c r="AA88" s="32">
        <v>1715</v>
      </c>
      <c r="AB88" s="102">
        <v>2</v>
      </c>
      <c r="AC88" s="36">
        <v>9</v>
      </c>
      <c r="AD88" s="32">
        <v>90.15</v>
      </c>
      <c r="AE88" s="32">
        <v>2006</v>
      </c>
      <c r="AF88" s="32" t="s">
        <v>375</v>
      </c>
      <c r="AG88" s="34"/>
      <c r="AH88" s="103" t="s">
        <v>414</v>
      </c>
      <c r="AI88" s="34" t="s">
        <v>415</v>
      </c>
      <c r="AJ88" s="32" t="s">
        <v>416</v>
      </c>
    </row>
    <row r="89" spans="1:36" x14ac:dyDescent="0.25">
      <c r="A89" s="32">
        <v>100</v>
      </c>
      <c r="B89" s="32" t="s">
        <v>300</v>
      </c>
      <c r="C89" s="32">
        <v>1</v>
      </c>
      <c r="D89" s="32" t="s">
        <v>417</v>
      </c>
      <c r="E89" s="32">
        <v>12</v>
      </c>
      <c r="F89" s="33"/>
      <c r="G89" s="32">
        <v>277.34989000000002</v>
      </c>
      <c r="H89" s="34">
        <v>4.6203209999999997</v>
      </c>
      <c r="I89" s="34">
        <v>3.3103210000000001</v>
      </c>
      <c r="J89" s="34">
        <v>1.31</v>
      </c>
      <c r="K89" s="32">
        <v>5.99</v>
      </c>
      <c r="L89" s="32" t="s">
        <v>140</v>
      </c>
      <c r="M89" s="32"/>
      <c r="N89" s="35">
        <v>15.158533949639999</v>
      </c>
      <c r="O89" s="35">
        <v>10.860633549639999</v>
      </c>
      <c r="P89" s="35">
        <v>4.2979004000000005</v>
      </c>
      <c r="Q89" s="35">
        <f t="shared" si="0"/>
        <v>2985.3664809709999</v>
      </c>
      <c r="R89" s="32" t="s">
        <v>208</v>
      </c>
      <c r="S89" s="32" t="s">
        <v>418</v>
      </c>
      <c r="T89" s="38"/>
      <c r="U89" s="44">
        <f t="shared" ref="U89:U90" si="6">AA89*AD89</f>
        <v>320270.11607856886</v>
      </c>
      <c r="V89" s="32"/>
      <c r="W89" s="32" t="s">
        <v>238</v>
      </c>
      <c r="X89" s="32" t="s">
        <v>8</v>
      </c>
      <c r="Y89" s="32" t="s">
        <v>33</v>
      </c>
      <c r="Z89" s="32" t="s">
        <v>203</v>
      </c>
      <c r="AA89" s="34">
        <f t="shared" ref="AA89:AA90" si="7">Q89</f>
        <v>2985.3664809709999</v>
      </c>
      <c r="AB89" s="32">
        <v>1</v>
      </c>
      <c r="AC89" s="41">
        <v>9</v>
      </c>
      <c r="AD89" s="32">
        <v>107.28</v>
      </c>
      <c r="AE89" s="32">
        <v>2006</v>
      </c>
      <c r="AF89" s="32" t="s">
        <v>252</v>
      </c>
      <c r="AG89" s="32">
        <v>0</v>
      </c>
      <c r="AH89" s="37" t="s">
        <v>419</v>
      </c>
      <c r="AI89" s="32" t="s">
        <v>420</v>
      </c>
      <c r="AJ89" s="32" t="s">
        <v>421</v>
      </c>
    </row>
    <row r="90" spans="1:36" x14ac:dyDescent="0.25">
      <c r="A90" s="32">
        <v>100</v>
      </c>
      <c r="B90" s="32" t="s">
        <v>300</v>
      </c>
      <c r="C90" s="32">
        <v>1</v>
      </c>
      <c r="D90" s="32" t="s">
        <v>422</v>
      </c>
      <c r="E90" s="32">
        <v>12</v>
      </c>
      <c r="F90" s="33"/>
      <c r="G90" s="32">
        <v>177.004605</v>
      </c>
      <c r="H90" s="34">
        <v>4.4065899999999996</v>
      </c>
      <c r="I90" s="34">
        <v>3.2165910000000002</v>
      </c>
      <c r="J90" s="34">
        <v>1.19</v>
      </c>
      <c r="K90" s="32">
        <v>5.99</v>
      </c>
      <c r="L90" s="32" t="s">
        <v>140</v>
      </c>
      <c r="M90" s="32"/>
      <c r="N90" s="35">
        <v>14.457316735599999</v>
      </c>
      <c r="O90" s="35">
        <v>10.553120416440001</v>
      </c>
      <c r="P90" s="35">
        <v>3.9041995999999997</v>
      </c>
      <c r="Q90" s="35">
        <f t="shared" si="0"/>
        <v>1905.2598677594999</v>
      </c>
      <c r="R90" s="32" t="s">
        <v>208</v>
      </c>
      <c r="S90" s="32" t="s">
        <v>423</v>
      </c>
      <c r="T90" s="38"/>
      <c r="U90" s="44">
        <f t="shared" si="6"/>
        <v>144704.48695633403</v>
      </c>
      <c r="V90" s="32"/>
      <c r="W90" s="32" t="s">
        <v>238</v>
      </c>
      <c r="X90" s="32" t="s">
        <v>119</v>
      </c>
      <c r="Y90" s="32" t="s">
        <v>28</v>
      </c>
      <c r="Z90" s="32" t="s">
        <v>5</v>
      </c>
      <c r="AA90" s="34">
        <f t="shared" si="7"/>
        <v>1905.2598677594999</v>
      </c>
      <c r="AB90" s="32">
        <v>1</v>
      </c>
      <c r="AC90" s="36">
        <v>1</v>
      </c>
      <c r="AD90" s="32">
        <v>75.95</v>
      </c>
      <c r="AE90" s="32">
        <v>2006</v>
      </c>
      <c r="AF90" s="32" t="s">
        <v>424</v>
      </c>
      <c r="AG90" s="32">
        <v>0</v>
      </c>
      <c r="AH90" s="37"/>
      <c r="AI90" s="32" t="s">
        <v>425</v>
      </c>
      <c r="AJ90" s="32" t="s">
        <v>426</v>
      </c>
    </row>
  </sheetData>
  <hyperlinks>
    <hyperlink ref="AH31" r:id="rId1"/>
    <hyperlink ref="AH44" r:id="rId2"/>
    <hyperlink ref="AH45" r:id="rId3"/>
    <hyperlink ref="AH42" r:id="rId4"/>
    <hyperlink ref="AH32" r:id="rId5" display="https://www.esf.edu/cclp/documents/GATE_CLR_Fort_Tilden_062013.pdf"/>
    <hyperlink ref="AH28" r:id="rId6"/>
    <hyperlink ref="AH23" r:id="rId7"/>
    <hyperlink ref="AH19" r:id="rId8"/>
    <hyperlink ref="AH16" r:id="rId9"/>
    <hyperlink ref="AH13" r:id="rId10"/>
    <hyperlink ref="AH15" r:id="rId11"/>
    <hyperlink ref="AH11" r:id="rId12"/>
    <hyperlink ref="AH12" r:id="rId13"/>
    <hyperlink ref="AH59" r:id="rId14"/>
    <hyperlink ref="AH60" r:id="rId15"/>
    <hyperlink ref="AH61" r:id="rId16"/>
    <hyperlink ref="AH70" r:id="rId17"/>
    <hyperlink ref="AH71" r:id="rId18"/>
    <hyperlink ref="AH72" r:id="rId19"/>
    <hyperlink ref="AH73" r:id="rId20"/>
    <hyperlink ref="AH74" r:id="rId21"/>
    <hyperlink ref="AH75" r:id="rId22"/>
    <hyperlink ref="AH76" r:id="rId23"/>
    <hyperlink ref="AH77" r:id="rId24"/>
    <hyperlink ref="AH78" r:id="rId25"/>
    <hyperlink ref="AH79" r:id="rId26"/>
    <hyperlink ref="AH81" r:id="rId27"/>
    <hyperlink ref="AH82" r:id="rId28"/>
    <hyperlink ref="AH84" r:id="rId29"/>
    <hyperlink ref="AH86" r:id="rId30"/>
    <hyperlink ref="AH87" r:id="rId31"/>
    <hyperlink ref="AH89" r:id="rId32"/>
    <hyperlink ref="AH83" r:id="rId33"/>
    <hyperlink ref="AH88" r:id="rId34"/>
    <hyperlink ref="AH80" r:id="rId35"/>
    <hyperlink ref="AH85" r:id="rId36"/>
  </hyperlinks>
  <pageMargins left="0.7" right="0.7" top="0.75" bottom="0.75" header="0.3" footer="0.3"/>
  <pageSetup orientation="portrait" verticalDpi="0" r:id="rId37"/>
  <legacyDrawing r:id="rId3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9:AP42"/>
  <sheetViews>
    <sheetView topLeftCell="A7" workbookViewId="0">
      <selection activeCell="AF58" sqref="AF58"/>
    </sheetView>
  </sheetViews>
  <sheetFormatPr defaultRowHeight="15" x14ac:dyDescent="0.25"/>
  <cols>
    <col min="1" max="1" width="12.140625" customWidth="1"/>
    <col min="2" max="2" width="8.42578125" customWidth="1"/>
    <col min="3" max="6" width="12.5703125" customWidth="1"/>
    <col min="7" max="15" width="5" customWidth="1"/>
    <col min="16" max="16" width="6.140625" customWidth="1"/>
    <col min="17" max="17" width="5" customWidth="1"/>
    <col min="18" max="18" width="6.28515625" customWidth="1"/>
    <col min="19" max="30" width="5" customWidth="1"/>
    <col min="31" max="42" width="4.5703125" customWidth="1"/>
  </cols>
  <sheetData>
    <row r="9" spans="1:42" x14ac:dyDescent="0.25">
      <c r="A9" s="1"/>
      <c r="B9" s="1"/>
      <c r="C9" s="1"/>
      <c r="D9" s="1"/>
      <c r="E9" s="1"/>
      <c r="F9" s="1"/>
      <c r="G9" s="123" t="s">
        <v>6</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row>
    <row r="10" spans="1:42" x14ac:dyDescent="0.25">
      <c r="A10" s="1" t="s">
        <v>1</v>
      </c>
      <c r="B10" s="1" t="s">
        <v>2</v>
      </c>
      <c r="C10" s="1" t="s">
        <v>4</v>
      </c>
      <c r="D10" s="1" t="s">
        <v>89</v>
      </c>
      <c r="E10" s="1" t="s">
        <v>39</v>
      </c>
      <c r="F10" s="1" t="s">
        <v>10</v>
      </c>
      <c r="G10" s="1">
        <v>-9</v>
      </c>
      <c r="H10" s="1">
        <v>-8</v>
      </c>
      <c r="I10" s="1">
        <f>H10+1</f>
        <v>-7</v>
      </c>
      <c r="J10" s="1">
        <f t="shared" ref="J10:O10" si="0">I10+1</f>
        <v>-6</v>
      </c>
      <c r="K10" s="1">
        <f t="shared" si="0"/>
        <v>-5</v>
      </c>
      <c r="L10" s="1">
        <f t="shared" si="0"/>
        <v>-4</v>
      </c>
      <c r="M10" s="1">
        <f t="shared" si="0"/>
        <v>-3</v>
      </c>
      <c r="N10" s="1">
        <f>M10+1</f>
        <v>-2</v>
      </c>
      <c r="O10" s="1">
        <f t="shared" si="0"/>
        <v>-1</v>
      </c>
      <c r="P10" s="1">
        <v>-0.5</v>
      </c>
      <c r="Q10" s="1">
        <v>0</v>
      </c>
      <c r="R10" s="1">
        <v>0.5</v>
      </c>
      <c r="S10" s="1">
        <v>1</v>
      </c>
      <c r="T10" s="1">
        <f>S10+1</f>
        <v>2</v>
      </c>
      <c r="U10" s="1">
        <f t="shared" ref="U10:AP10" si="1">T10+1</f>
        <v>3</v>
      </c>
      <c r="V10" s="1">
        <f t="shared" si="1"/>
        <v>4</v>
      </c>
      <c r="W10" s="1">
        <f t="shared" si="1"/>
        <v>5</v>
      </c>
      <c r="X10" s="1">
        <f t="shared" si="1"/>
        <v>6</v>
      </c>
      <c r="Y10" s="1">
        <f t="shared" si="1"/>
        <v>7</v>
      </c>
      <c r="Z10" s="1">
        <f t="shared" si="1"/>
        <v>8</v>
      </c>
      <c r="AA10" s="1">
        <f t="shared" si="1"/>
        <v>9</v>
      </c>
      <c r="AB10" s="1">
        <f t="shared" si="1"/>
        <v>10</v>
      </c>
      <c r="AC10" s="1">
        <f t="shared" si="1"/>
        <v>11</v>
      </c>
      <c r="AD10" s="1">
        <f t="shared" si="1"/>
        <v>12</v>
      </c>
      <c r="AE10" s="1">
        <f t="shared" si="1"/>
        <v>13</v>
      </c>
      <c r="AF10" s="1">
        <f t="shared" si="1"/>
        <v>14</v>
      </c>
      <c r="AG10" s="1">
        <f t="shared" si="1"/>
        <v>15</v>
      </c>
      <c r="AH10" s="1">
        <f t="shared" si="1"/>
        <v>16</v>
      </c>
      <c r="AI10" s="1">
        <f t="shared" si="1"/>
        <v>17</v>
      </c>
      <c r="AJ10" s="1">
        <f t="shared" si="1"/>
        <v>18</v>
      </c>
      <c r="AK10" s="1">
        <f t="shared" si="1"/>
        <v>19</v>
      </c>
      <c r="AL10" s="1">
        <f t="shared" si="1"/>
        <v>20</v>
      </c>
      <c r="AM10" s="1">
        <f t="shared" si="1"/>
        <v>21</v>
      </c>
      <c r="AN10" s="1">
        <f t="shared" si="1"/>
        <v>22</v>
      </c>
      <c r="AO10" s="1">
        <f t="shared" si="1"/>
        <v>23</v>
      </c>
      <c r="AP10" s="1">
        <f t="shared" si="1"/>
        <v>24</v>
      </c>
    </row>
    <row r="11" spans="1:42" x14ac:dyDescent="0.25">
      <c r="A11" t="s">
        <v>0</v>
      </c>
      <c r="B11">
        <v>1</v>
      </c>
      <c r="C11" t="s">
        <v>5</v>
      </c>
      <c r="D11" t="str">
        <f>A11&amp;"."&amp;B11&amp;"."&amp;C11</f>
        <v>RES1.1.Slab</v>
      </c>
      <c r="E11">
        <v>1</v>
      </c>
      <c r="F11" t="s">
        <v>11</v>
      </c>
      <c r="G11">
        <v>0</v>
      </c>
      <c r="H11">
        <v>0</v>
      </c>
      <c r="I11">
        <v>0</v>
      </c>
      <c r="J11">
        <v>0</v>
      </c>
      <c r="K11">
        <v>0</v>
      </c>
      <c r="L11">
        <v>0</v>
      </c>
      <c r="M11">
        <v>0</v>
      </c>
      <c r="N11">
        <v>0</v>
      </c>
      <c r="O11">
        <v>0</v>
      </c>
      <c r="P11">
        <v>0</v>
      </c>
      <c r="Q11">
        <v>1</v>
      </c>
      <c r="R11">
        <v>10</v>
      </c>
      <c r="S11">
        <v>18</v>
      </c>
      <c r="T11">
        <v>28</v>
      </c>
      <c r="U11">
        <v>33</v>
      </c>
      <c r="V11" s="2">
        <f>U11+((W11-U11)/(W10-U10))</f>
        <v>37.5</v>
      </c>
      <c r="W11">
        <v>42</v>
      </c>
      <c r="X11" s="2">
        <f>W11+((Y11-W11)/(Y10-W10))</f>
        <v>48.5</v>
      </c>
      <c r="Y11">
        <v>55</v>
      </c>
      <c r="Z11" s="2">
        <f>Y11+((AB11-Y11)/(AB10-Y10))</f>
        <v>58.333333333333336</v>
      </c>
      <c r="AA11" s="3">
        <f>Y11+2*((AB11-Y11)/(AB10-Y10))</f>
        <v>61.666666666666664</v>
      </c>
      <c r="AB11">
        <v>65</v>
      </c>
      <c r="AC11" s="3">
        <f>MIN(100,FORECAST(AC10,Y11:AB11,Y10:AB10))</f>
        <v>68.333333333333329</v>
      </c>
      <c r="AD11" s="3">
        <f t="shared" ref="AD11:AP11" si="2">MIN(100,FORECAST(AD10,Z11:AC11,Z10:AC10))</f>
        <v>71.666666666666657</v>
      </c>
      <c r="AE11" s="3">
        <f t="shared" si="2"/>
        <v>74.999999999999986</v>
      </c>
      <c r="AF11" s="3">
        <f t="shared" si="2"/>
        <v>78.333333333333314</v>
      </c>
      <c r="AG11" s="3">
        <f t="shared" si="2"/>
        <v>81.666666666666657</v>
      </c>
      <c r="AH11" s="3">
        <f t="shared" si="2"/>
        <v>85</v>
      </c>
      <c r="AI11" s="3">
        <f t="shared" si="2"/>
        <v>88.333333333333343</v>
      </c>
      <c r="AJ11" s="3">
        <f t="shared" si="2"/>
        <v>91.666666666666686</v>
      </c>
      <c r="AK11" s="3">
        <f t="shared" si="2"/>
        <v>95.000000000000028</v>
      </c>
      <c r="AL11" s="3">
        <f t="shared" si="2"/>
        <v>98.333333333333357</v>
      </c>
      <c r="AM11" s="3">
        <f t="shared" si="2"/>
        <v>100</v>
      </c>
      <c r="AN11" s="3">
        <f t="shared" si="2"/>
        <v>100</v>
      </c>
      <c r="AO11" s="3">
        <f t="shared" si="2"/>
        <v>100</v>
      </c>
      <c r="AP11" s="3">
        <f t="shared" si="2"/>
        <v>100</v>
      </c>
    </row>
    <row r="12" spans="1:42" x14ac:dyDescent="0.25">
      <c r="A12" t="s">
        <v>0</v>
      </c>
      <c r="B12">
        <v>2</v>
      </c>
      <c r="C12" t="s">
        <v>5</v>
      </c>
      <c r="D12" t="str">
        <f t="shared" ref="D12:D17" si="3">A12&amp;"."&amp;B12&amp;"."&amp;C12</f>
        <v>RES1.2.Slab</v>
      </c>
      <c r="E12">
        <f>E11+1</f>
        <v>2</v>
      </c>
      <c r="F12" t="s">
        <v>11</v>
      </c>
      <c r="G12">
        <v>0</v>
      </c>
      <c r="H12">
        <v>0</v>
      </c>
      <c r="I12">
        <v>0</v>
      </c>
      <c r="J12">
        <v>0</v>
      </c>
      <c r="K12">
        <v>0</v>
      </c>
      <c r="L12">
        <v>0</v>
      </c>
      <c r="M12">
        <v>0</v>
      </c>
      <c r="N12">
        <v>0</v>
      </c>
      <c r="O12">
        <v>0</v>
      </c>
      <c r="P12">
        <v>1</v>
      </c>
      <c r="Q12">
        <v>5</v>
      </c>
      <c r="R12">
        <v>10</v>
      </c>
      <c r="S12">
        <v>15</v>
      </c>
      <c r="T12">
        <v>20</v>
      </c>
      <c r="U12">
        <v>25</v>
      </c>
      <c r="V12" s="2">
        <f>U12+((W12-U12)/(W10-U10))</f>
        <v>27.5</v>
      </c>
      <c r="W12">
        <v>30</v>
      </c>
      <c r="X12" s="2">
        <f>W12+((Y12-W12)/(Y10-W10))</f>
        <v>40</v>
      </c>
      <c r="Y12">
        <v>50</v>
      </c>
      <c r="Z12" s="2">
        <f>Y12+((AB12-Y12)/(AB10-Y10))</f>
        <v>53.333333333333336</v>
      </c>
      <c r="AA12" s="3">
        <f>Y12+2*((AB12-Y12)/(AB10-Y10))</f>
        <v>56.666666666666664</v>
      </c>
      <c r="AB12">
        <v>60</v>
      </c>
      <c r="AC12" s="3">
        <f>MIN(100,FORECAST(AC10,Y12:AB12,Y10:AB10))</f>
        <v>63.333333333333329</v>
      </c>
      <c r="AD12" s="3">
        <f t="shared" ref="AD12:AP12" si="4">MIN(100,FORECAST(AD10,Z12:AC12,Z10:AC10))</f>
        <v>66.666666666666657</v>
      </c>
      <c r="AE12" s="3">
        <f t="shared" si="4"/>
        <v>70</v>
      </c>
      <c r="AF12" s="3">
        <f t="shared" si="4"/>
        <v>73.333333333333343</v>
      </c>
      <c r="AG12" s="3">
        <f t="shared" si="4"/>
        <v>76.666666666666686</v>
      </c>
      <c r="AH12" s="3">
        <f t="shared" si="4"/>
        <v>80.000000000000028</v>
      </c>
      <c r="AI12" s="3">
        <f t="shared" si="4"/>
        <v>83.333333333333371</v>
      </c>
      <c r="AJ12" s="3">
        <f t="shared" si="4"/>
        <v>86.666666666666714</v>
      </c>
      <c r="AK12" s="3">
        <f t="shared" si="4"/>
        <v>90.000000000000057</v>
      </c>
      <c r="AL12" s="3">
        <f t="shared" si="4"/>
        <v>93.3333333333334</v>
      </c>
      <c r="AM12" s="3">
        <f t="shared" si="4"/>
        <v>96.666666666666728</v>
      </c>
      <c r="AN12" s="3">
        <f t="shared" si="4"/>
        <v>100</v>
      </c>
      <c r="AO12" s="3">
        <f t="shared" si="4"/>
        <v>100</v>
      </c>
      <c r="AP12" s="3">
        <f t="shared" si="4"/>
        <v>100</v>
      </c>
    </row>
    <row r="13" spans="1:42" x14ac:dyDescent="0.25">
      <c r="A13" t="s">
        <v>0</v>
      </c>
      <c r="B13">
        <v>1</v>
      </c>
      <c r="C13" t="s">
        <v>3</v>
      </c>
      <c r="D13" t="str">
        <f t="shared" si="3"/>
        <v>RES1.1.Basement</v>
      </c>
      <c r="E13">
        <f t="shared" ref="E13:E18" si="5">E12+1</f>
        <v>3</v>
      </c>
      <c r="F13" t="s">
        <v>11</v>
      </c>
      <c r="G13">
        <v>0</v>
      </c>
      <c r="H13">
        <v>1</v>
      </c>
      <c r="I13" s="2">
        <f>H13+((K13-H13)/(K10-H10))</f>
        <v>1.6666666666666665</v>
      </c>
      <c r="J13" s="3">
        <f>H13+2*((K13-H13)/(K10-H10))</f>
        <v>2.333333333333333</v>
      </c>
      <c r="K13">
        <v>3</v>
      </c>
      <c r="L13" s="2">
        <f>K13+((M13-K13)/(M10-K10))</f>
        <v>4</v>
      </c>
      <c r="M13">
        <v>5</v>
      </c>
      <c r="N13" s="2">
        <f>M13+((O13-M13)/(O10-M10))</f>
        <v>7.5</v>
      </c>
      <c r="O13">
        <v>10</v>
      </c>
      <c r="P13">
        <v>12</v>
      </c>
      <c r="Q13">
        <v>18</v>
      </c>
      <c r="R13">
        <v>30</v>
      </c>
      <c r="S13">
        <v>30</v>
      </c>
      <c r="T13">
        <v>35</v>
      </c>
      <c r="U13">
        <v>40</v>
      </c>
      <c r="V13" s="2">
        <f>U13+((W13-U13)/(W10-U10))</f>
        <v>55</v>
      </c>
      <c r="W13">
        <v>70</v>
      </c>
      <c r="X13" s="2">
        <f>W13+((Y13-W13)/(Y10-W10))</f>
        <v>80</v>
      </c>
      <c r="Y13">
        <v>90</v>
      </c>
      <c r="Z13" s="2">
        <f>Y13+((AB13-Y13)/(AB10-Y10))</f>
        <v>91.666666666666671</v>
      </c>
      <c r="AA13" s="3">
        <f>Y13+2*((AB13-Y13)/(AB10-Y10))</f>
        <v>93.333333333333329</v>
      </c>
      <c r="AB13">
        <v>95</v>
      </c>
      <c r="AC13" s="3">
        <f>MIN(100,FORECAST(AC10,Y13:AB13,Y10:AB10))</f>
        <v>96.666666666666657</v>
      </c>
      <c r="AD13" s="3">
        <f t="shared" ref="AD13:AP13" si="6">MIN(100,FORECAST(AD10,Z13:AC13,Z10:AC10))</f>
        <v>98.333333333333314</v>
      </c>
      <c r="AE13" s="3">
        <f t="shared" si="6"/>
        <v>99.999999999999986</v>
      </c>
      <c r="AF13" s="3">
        <f t="shared" si="6"/>
        <v>100</v>
      </c>
      <c r="AG13" s="3">
        <f t="shared" si="6"/>
        <v>100</v>
      </c>
      <c r="AH13" s="3">
        <f t="shared" si="6"/>
        <v>100</v>
      </c>
      <c r="AI13" s="3">
        <f t="shared" si="6"/>
        <v>100</v>
      </c>
      <c r="AJ13" s="3">
        <f t="shared" si="6"/>
        <v>100</v>
      </c>
      <c r="AK13" s="3">
        <f t="shared" si="6"/>
        <v>100</v>
      </c>
      <c r="AL13" s="3">
        <f t="shared" si="6"/>
        <v>100</v>
      </c>
      <c r="AM13" s="3">
        <f t="shared" si="6"/>
        <v>100</v>
      </c>
      <c r="AN13" s="3">
        <f t="shared" si="6"/>
        <v>100</v>
      </c>
      <c r="AO13" s="3">
        <f t="shared" si="6"/>
        <v>100</v>
      </c>
      <c r="AP13" s="3">
        <f t="shared" si="6"/>
        <v>100</v>
      </c>
    </row>
    <row r="14" spans="1:42" x14ac:dyDescent="0.25">
      <c r="A14" t="s">
        <v>0</v>
      </c>
      <c r="B14">
        <v>2</v>
      </c>
      <c r="C14" t="s">
        <v>3</v>
      </c>
      <c r="D14" t="str">
        <f t="shared" si="3"/>
        <v>RES1.2.Basement</v>
      </c>
      <c r="E14">
        <f t="shared" si="5"/>
        <v>4</v>
      </c>
      <c r="F14" t="s">
        <v>11</v>
      </c>
      <c r="G14">
        <v>0</v>
      </c>
      <c r="H14">
        <v>0</v>
      </c>
      <c r="I14" s="2">
        <f>H14+((K14-H14)/(K10-H10))</f>
        <v>1</v>
      </c>
      <c r="J14" s="3">
        <f>H14+2*((K14-H14)/(K10-H10))</f>
        <v>2</v>
      </c>
      <c r="K14">
        <v>3</v>
      </c>
      <c r="L14" s="2">
        <f>K14+((M14-K14)/(M10-K10))</f>
        <v>5</v>
      </c>
      <c r="M14">
        <v>7</v>
      </c>
      <c r="N14" s="2">
        <f>M14+((O14-M14)/(O10-M10))</f>
        <v>8.5</v>
      </c>
      <c r="O14">
        <v>10</v>
      </c>
      <c r="P14">
        <v>12</v>
      </c>
      <c r="Q14">
        <v>15</v>
      </c>
      <c r="R14">
        <v>20</v>
      </c>
      <c r="S14">
        <v>25</v>
      </c>
      <c r="T14">
        <v>30</v>
      </c>
      <c r="U14">
        <v>35</v>
      </c>
      <c r="V14" s="2">
        <f>U14+((W14-U14)/(W10-U10))</f>
        <v>42.5</v>
      </c>
      <c r="W14">
        <v>50</v>
      </c>
      <c r="X14" s="2">
        <f>W14+((Y14-W14)/(Y10-W10))</f>
        <v>55</v>
      </c>
      <c r="Y14">
        <v>60</v>
      </c>
      <c r="Z14" s="2">
        <f>Y14+((AB14-Y14)/(AB10-Y10))</f>
        <v>63.333333333333336</v>
      </c>
      <c r="AA14" s="3">
        <f>Y14+2*((AB14-Y14)/(AB10-Y10))</f>
        <v>66.666666666666671</v>
      </c>
      <c r="AB14">
        <v>70</v>
      </c>
      <c r="AC14" s="3">
        <f>MIN(100,FORECAST(AC10,Y14:AB14,Y10:AB10))</f>
        <v>73.333333333333343</v>
      </c>
      <c r="AD14" s="3">
        <f t="shared" ref="AD14:AP14" si="7">MIN(100,FORECAST(AD10,Z14:AC14,Z10:AC10))</f>
        <v>76.666666666666671</v>
      </c>
      <c r="AE14" s="3">
        <f t="shared" si="7"/>
        <v>80</v>
      </c>
      <c r="AF14" s="3">
        <f t="shared" si="7"/>
        <v>83.333333333333343</v>
      </c>
      <c r="AG14" s="3">
        <f t="shared" si="7"/>
        <v>86.666666666666671</v>
      </c>
      <c r="AH14" s="3">
        <f t="shared" si="7"/>
        <v>90</v>
      </c>
      <c r="AI14" s="3">
        <f t="shared" si="7"/>
        <v>93.333333333333343</v>
      </c>
      <c r="AJ14" s="3">
        <f t="shared" si="7"/>
        <v>96.666666666666671</v>
      </c>
      <c r="AK14" s="3">
        <f t="shared" si="7"/>
        <v>100</v>
      </c>
      <c r="AL14" s="3">
        <f t="shared" si="7"/>
        <v>100</v>
      </c>
      <c r="AM14" s="3">
        <f t="shared" si="7"/>
        <v>100</v>
      </c>
      <c r="AN14" s="3">
        <f t="shared" si="7"/>
        <v>100</v>
      </c>
      <c r="AO14" s="3">
        <f t="shared" si="7"/>
        <v>100</v>
      </c>
      <c r="AP14" s="3">
        <f t="shared" si="7"/>
        <v>100</v>
      </c>
    </row>
    <row r="15" spans="1:42" x14ac:dyDescent="0.25">
      <c r="A15" t="s">
        <v>0</v>
      </c>
      <c r="B15">
        <v>1</v>
      </c>
      <c r="C15" t="s">
        <v>203</v>
      </c>
      <c r="D15" t="str">
        <f t="shared" si="3"/>
        <v>RES1.1.Piers</v>
      </c>
      <c r="E15">
        <f t="shared" si="5"/>
        <v>5</v>
      </c>
      <c r="F15" t="s">
        <v>11</v>
      </c>
      <c r="G15">
        <v>0</v>
      </c>
      <c r="H15">
        <v>0</v>
      </c>
      <c r="I15" s="2">
        <f>H15+((K15-H15)/(K10-H10))</f>
        <v>0.66666666666666663</v>
      </c>
      <c r="J15" s="3">
        <f>H15+2*((K15-H15)/(K10-H10))</f>
        <v>1.3333333333333333</v>
      </c>
      <c r="K15">
        <v>2</v>
      </c>
      <c r="L15" s="2">
        <f>K15+((M15-K15)/(M10-K10))</f>
        <v>3</v>
      </c>
      <c r="M15">
        <v>4</v>
      </c>
      <c r="N15" s="2">
        <f>M15+((O15-M15)/(O10-M10))</f>
        <v>8</v>
      </c>
      <c r="O15">
        <v>12</v>
      </c>
      <c r="P15">
        <v>16</v>
      </c>
      <c r="Q15">
        <v>20</v>
      </c>
      <c r="R15">
        <v>28</v>
      </c>
      <c r="S15">
        <v>35</v>
      </c>
      <c r="T15">
        <v>40</v>
      </c>
      <c r="U15">
        <v>60</v>
      </c>
      <c r="V15" s="2">
        <f>U15+((W15-U15)/(W10-U10))</f>
        <v>65</v>
      </c>
      <c r="W15">
        <v>70</v>
      </c>
      <c r="X15" s="2">
        <f>W15+((Y15-W15)/(Y10-W10))</f>
        <v>75</v>
      </c>
      <c r="Y15">
        <v>80</v>
      </c>
      <c r="Z15" s="2">
        <f>Y15+((AB15-Y15)/(AB10-Y10))</f>
        <v>86.666666666666671</v>
      </c>
      <c r="AA15" s="3">
        <f>Y15+2*((AB15-Y15)/(AB10-Y10))</f>
        <v>93.333333333333329</v>
      </c>
      <c r="AB15">
        <v>100</v>
      </c>
      <c r="AC15">
        <v>100</v>
      </c>
      <c r="AD15">
        <v>100</v>
      </c>
      <c r="AE15">
        <v>100</v>
      </c>
      <c r="AF15">
        <v>100</v>
      </c>
      <c r="AG15">
        <v>100</v>
      </c>
      <c r="AH15">
        <v>100</v>
      </c>
      <c r="AI15">
        <v>100</v>
      </c>
      <c r="AJ15">
        <v>100</v>
      </c>
      <c r="AK15">
        <v>100</v>
      </c>
      <c r="AL15">
        <v>100</v>
      </c>
      <c r="AM15">
        <v>100</v>
      </c>
      <c r="AN15">
        <v>100</v>
      </c>
      <c r="AO15">
        <v>100</v>
      </c>
      <c r="AP15">
        <v>100</v>
      </c>
    </row>
    <row r="16" spans="1:42" x14ac:dyDescent="0.25">
      <c r="A16" t="s">
        <v>7</v>
      </c>
      <c r="B16">
        <v>1</v>
      </c>
      <c r="C16" t="s">
        <v>5</v>
      </c>
      <c r="D16" t="str">
        <f t="shared" si="3"/>
        <v>RES3.1.Slab</v>
      </c>
      <c r="E16">
        <f t="shared" si="5"/>
        <v>6</v>
      </c>
      <c r="F16" t="s">
        <v>11</v>
      </c>
      <c r="G16">
        <v>0</v>
      </c>
      <c r="H16">
        <v>0</v>
      </c>
      <c r="I16">
        <v>0</v>
      </c>
      <c r="J16">
        <v>0</v>
      </c>
      <c r="K16">
        <v>0</v>
      </c>
      <c r="L16">
        <v>0</v>
      </c>
      <c r="M16">
        <v>0</v>
      </c>
      <c r="N16">
        <v>0</v>
      </c>
      <c r="O16">
        <v>0</v>
      </c>
      <c r="P16">
        <v>0</v>
      </c>
      <c r="Q16">
        <v>10</v>
      </c>
      <c r="R16">
        <v>16</v>
      </c>
      <c r="S16">
        <v>25</v>
      </c>
      <c r="T16">
        <v>35</v>
      </c>
      <c r="U16">
        <v>43</v>
      </c>
      <c r="V16" s="2">
        <f>U16+((W16-U16)/(W10-U10))</f>
        <v>51.5</v>
      </c>
      <c r="W16">
        <v>60</v>
      </c>
      <c r="X16" s="2">
        <f>W16+((Y16-W16)/(Y10-W10))</f>
        <v>64</v>
      </c>
      <c r="Y16">
        <v>68</v>
      </c>
      <c r="Z16">
        <f>MIN(100,FORECAST(Z10,W16:Y16,W10:Y10))</f>
        <v>72</v>
      </c>
      <c r="AA16">
        <f t="shared" ref="AA16:AP16" si="8">MIN(100,FORECAST(AA10,X16:Z16,X10:Z10))</f>
        <v>76</v>
      </c>
      <c r="AB16">
        <f t="shared" si="8"/>
        <v>80</v>
      </c>
      <c r="AC16">
        <f t="shared" si="8"/>
        <v>84</v>
      </c>
      <c r="AD16">
        <f t="shared" si="8"/>
        <v>88</v>
      </c>
      <c r="AE16">
        <f t="shared" si="8"/>
        <v>92</v>
      </c>
      <c r="AF16">
        <f t="shared" si="8"/>
        <v>96</v>
      </c>
      <c r="AG16">
        <f t="shared" si="8"/>
        <v>100</v>
      </c>
      <c r="AH16">
        <f t="shared" si="8"/>
        <v>100</v>
      </c>
      <c r="AI16">
        <f t="shared" si="8"/>
        <v>100</v>
      </c>
      <c r="AJ16">
        <f t="shared" si="8"/>
        <v>100</v>
      </c>
      <c r="AK16">
        <f t="shared" si="8"/>
        <v>100</v>
      </c>
      <c r="AL16">
        <f t="shared" si="8"/>
        <v>100</v>
      </c>
      <c r="AM16">
        <f t="shared" si="8"/>
        <v>100</v>
      </c>
      <c r="AN16">
        <f t="shared" si="8"/>
        <v>100</v>
      </c>
      <c r="AO16">
        <f t="shared" si="8"/>
        <v>100</v>
      </c>
      <c r="AP16">
        <f t="shared" si="8"/>
        <v>100</v>
      </c>
    </row>
    <row r="17" spans="1:42" x14ac:dyDescent="0.25">
      <c r="A17" t="s">
        <v>7</v>
      </c>
      <c r="B17">
        <v>3</v>
      </c>
      <c r="C17" t="s">
        <v>3</v>
      </c>
      <c r="D17" t="str">
        <f t="shared" si="3"/>
        <v>RES3.3.Basement</v>
      </c>
      <c r="E17">
        <f t="shared" si="5"/>
        <v>7</v>
      </c>
      <c r="F17" t="s">
        <v>12</v>
      </c>
      <c r="G17">
        <v>0</v>
      </c>
      <c r="H17">
        <v>0</v>
      </c>
      <c r="I17">
        <v>0</v>
      </c>
      <c r="J17">
        <v>0</v>
      </c>
      <c r="K17">
        <v>0</v>
      </c>
      <c r="L17">
        <v>0</v>
      </c>
      <c r="M17">
        <v>0</v>
      </c>
      <c r="N17">
        <v>0</v>
      </c>
      <c r="O17">
        <v>0</v>
      </c>
      <c r="P17">
        <v>0</v>
      </c>
      <c r="Q17">
        <v>5</v>
      </c>
      <c r="R17">
        <v>8</v>
      </c>
      <c r="S17">
        <v>20</v>
      </c>
      <c r="T17">
        <v>28</v>
      </c>
      <c r="U17">
        <v>28</v>
      </c>
      <c r="V17" s="2">
        <f>U17+((W17-U17)/(W10-U10))</f>
        <v>33</v>
      </c>
      <c r="W17">
        <v>38</v>
      </c>
      <c r="X17" s="2">
        <f>W17+((Y17-W17)/(Y10-W10))</f>
        <v>42</v>
      </c>
      <c r="Y17">
        <v>46</v>
      </c>
      <c r="Z17" s="2">
        <f>Y17+((AB17-Y17)/(AB10-Y10))</f>
        <v>47.333333333333336</v>
      </c>
      <c r="AA17" s="3">
        <f>Y17+2*((AB17-Y17)/(AB10-Y10))</f>
        <v>48.666666666666664</v>
      </c>
      <c r="AB17">
        <v>50</v>
      </c>
      <c r="AC17" s="3">
        <f>MIN(100,FORECAST(AC10,Y17:AB17,Y10:AB10))</f>
        <v>51.333333333333329</v>
      </c>
      <c r="AD17" s="3">
        <f t="shared" ref="AD17:AP17" si="9">MIN(100,FORECAST(AD10,Z17:AC17,Z10:AC10))</f>
        <v>52.666666666666657</v>
      </c>
      <c r="AE17" s="3">
        <f t="shared" si="9"/>
        <v>53.999999999999993</v>
      </c>
      <c r="AF17" s="3">
        <f t="shared" si="9"/>
        <v>55.333333333333329</v>
      </c>
      <c r="AG17" s="3">
        <f t="shared" si="9"/>
        <v>56.666666666666657</v>
      </c>
      <c r="AH17" s="3">
        <f t="shared" si="9"/>
        <v>57.999999999999993</v>
      </c>
      <c r="AI17" s="3">
        <f t="shared" si="9"/>
        <v>59.333333333333329</v>
      </c>
      <c r="AJ17" s="3">
        <f t="shared" si="9"/>
        <v>60.666666666666657</v>
      </c>
      <c r="AK17" s="3">
        <f t="shared" si="9"/>
        <v>61.999999999999993</v>
      </c>
      <c r="AL17" s="3">
        <f t="shared" si="9"/>
        <v>63.333333333333329</v>
      </c>
      <c r="AM17" s="3">
        <f t="shared" si="9"/>
        <v>64.666666666666657</v>
      </c>
      <c r="AN17" s="3">
        <f t="shared" si="9"/>
        <v>66</v>
      </c>
      <c r="AO17" s="3">
        <f t="shared" si="9"/>
        <v>67.333333333333343</v>
      </c>
      <c r="AP17" s="3">
        <f t="shared" si="9"/>
        <v>68.666666666666686</v>
      </c>
    </row>
    <row r="18" spans="1:42" x14ac:dyDescent="0.25">
      <c r="A18" t="s">
        <v>8</v>
      </c>
      <c r="B18" t="s">
        <v>9</v>
      </c>
      <c r="C18" t="s">
        <v>9</v>
      </c>
      <c r="D18" t="str">
        <f>A18</f>
        <v>GOV1</v>
      </c>
      <c r="E18">
        <f t="shared" si="5"/>
        <v>8</v>
      </c>
      <c r="F18" t="s">
        <v>13</v>
      </c>
      <c r="G18">
        <v>0</v>
      </c>
      <c r="H18">
        <v>0</v>
      </c>
      <c r="I18">
        <v>0</v>
      </c>
      <c r="J18">
        <v>0</v>
      </c>
      <c r="K18">
        <v>0</v>
      </c>
      <c r="L18">
        <v>0</v>
      </c>
      <c r="M18">
        <v>0</v>
      </c>
      <c r="N18">
        <v>0</v>
      </c>
      <c r="O18">
        <v>0</v>
      </c>
      <c r="P18">
        <v>0</v>
      </c>
      <c r="Q18">
        <v>0</v>
      </c>
      <c r="R18" s="42">
        <f>Q18+(R$10)*((S18-Q18)/(S$10-Q$10))</f>
        <v>2.5</v>
      </c>
      <c r="S18">
        <v>5</v>
      </c>
      <c r="T18">
        <v>8</v>
      </c>
      <c r="U18">
        <v>13</v>
      </c>
      <c r="V18">
        <v>14</v>
      </c>
      <c r="W18">
        <v>14</v>
      </c>
      <c r="X18">
        <v>15</v>
      </c>
      <c r="Y18">
        <v>17</v>
      </c>
      <c r="Z18">
        <v>19</v>
      </c>
      <c r="AA18">
        <v>22</v>
      </c>
      <c r="AB18">
        <v>26</v>
      </c>
      <c r="AC18">
        <v>31</v>
      </c>
      <c r="AD18">
        <v>37</v>
      </c>
      <c r="AE18">
        <v>44</v>
      </c>
      <c r="AF18">
        <v>51</v>
      </c>
      <c r="AG18">
        <v>59</v>
      </c>
      <c r="AH18">
        <v>65</v>
      </c>
      <c r="AI18">
        <v>70</v>
      </c>
      <c r="AJ18">
        <v>74</v>
      </c>
      <c r="AK18">
        <v>79</v>
      </c>
      <c r="AL18">
        <v>83</v>
      </c>
      <c r="AM18">
        <v>87</v>
      </c>
      <c r="AN18">
        <v>91</v>
      </c>
      <c r="AO18">
        <v>95</v>
      </c>
      <c r="AP18">
        <v>98</v>
      </c>
    </row>
    <row r="19" spans="1:42" s="30" customFormat="1" x14ac:dyDescent="0.25">
      <c r="A19" s="30" t="s">
        <v>118</v>
      </c>
      <c r="B19" s="30" t="s">
        <v>9</v>
      </c>
      <c r="C19" s="30" t="s">
        <v>9</v>
      </c>
      <c r="D19" t="str">
        <f t="shared" ref="D19:D37" si="10">A19</f>
        <v>COM1</v>
      </c>
      <c r="E19" s="30">
        <v>9</v>
      </c>
      <c r="F19" s="30" t="s">
        <v>218</v>
      </c>
      <c r="G19" s="30">
        <v>0</v>
      </c>
      <c r="H19" s="30">
        <v>0</v>
      </c>
      <c r="I19" s="30">
        <v>0</v>
      </c>
      <c r="J19" s="30">
        <v>0</v>
      </c>
      <c r="K19" s="30">
        <v>0</v>
      </c>
      <c r="L19" s="30">
        <v>0</v>
      </c>
      <c r="M19" s="30">
        <v>0</v>
      </c>
      <c r="N19" s="30">
        <v>0</v>
      </c>
      <c r="O19" s="30">
        <v>0</v>
      </c>
      <c r="P19" s="42">
        <v>0.5</v>
      </c>
      <c r="Q19" s="30">
        <v>1</v>
      </c>
      <c r="R19" s="42">
        <f>Q19+(R$10)*((S19-Q19)/(S$10-Q$10))</f>
        <v>5</v>
      </c>
      <c r="S19" s="30">
        <v>9</v>
      </c>
      <c r="T19" s="30">
        <v>14</v>
      </c>
      <c r="U19" s="30">
        <v>16</v>
      </c>
      <c r="V19" s="30">
        <v>18</v>
      </c>
      <c r="W19" s="30">
        <v>20</v>
      </c>
      <c r="X19" s="30">
        <v>23</v>
      </c>
      <c r="Y19" s="30">
        <v>26</v>
      </c>
      <c r="Z19" s="30">
        <v>30</v>
      </c>
      <c r="AA19" s="30">
        <v>34</v>
      </c>
      <c r="AB19" s="30">
        <v>38</v>
      </c>
      <c r="AC19" s="30">
        <v>42</v>
      </c>
      <c r="AD19" s="30">
        <v>47</v>
      </c>
      <c r="AE19" s="30">
        <v>51</v>
      </c>
      <c r="AF19" s="30">
        <v>55</v>
      </c>
      <c r="AG19" s="30">
        <v>58</v>
      </c>
      <c r="AH19" s="30">
        <v>61</v>
      </c>
      <c r="AI19" s="30">
        <v>64</v>
      </c>
      <c r="AJ19" s="30">
        <v>67</v>
      </c>
      <c r="AK19" s="30">
        <v>69</v>
      </c>
      <c r="AL19" s="30">
        <v>71</v>
      </c>
      <c r="AM19" s="30">
        <v>74</v>
      </c>
      <c r="AN19" s="30">
        <v>76</v>
      </c>
      <c r="AO19" s="30">
        <v>78</v>
      </c>
      <c r="AP19" s="30">
        <v>80</v>
      </c>
    </row>
    <row r="20" spans="1:42" s="30" customFormat="1" x14ac:dyDescent="0.25">
      <c r="A20" s="30" t="s">
        <v>119</v>
      </c>
      <c r="B20" s="30" t="s">
        <v>9</v>
      </c>
      <c r="C20" s="30" t="s">
        <v>9</v>
      </c>
      <c r="D20" t="str">
        <f t="shared" si="10"/>
        <v>COM2</v>
      </c>
      <c r="E20" s="30">
        <v>9</v>
      </c>
      <c r="F20" s="30" t="s">
        <v>219</v>
      </c>
      <c r="G20" s="30">
        <v>0</v>
      </c>
      <c r="H20" s="30">
        <v>0</v>
      </c>
      <c r="I20" s="30">
        <v>0</v>
      </c>
      <c r="J20" s="30">
        <v>0</v>
      </c>
      <c r="K20" s="30">
        <v>0</v>
      </c>
      <c r="L20" s="30">
        <v>0</v>
      </c>
      <c r="M20" s="30">
        <v>0</v>
      </c>
      <c r="N20" s="30">
        <v>0</v>
      </c>
      <c r="O20" s="30">
        <v>0</v>
      </c>
      <c r="P20" s="42">
        <v>0</v>
      </c>
      <c r="Q20" s="30">
        <v>0</v>
      </c>
      <c r="R20" s="42">
        <f t="shared" ref="R20:R37" si="11">Q20+(R$10)*((S20-Q20)/(S$10-Q$10))</f>
        <v>2.5</v>
      </c>
      <c r="S20" s="30">
        <v>5</v>
      </c>
      <c r="T20" s="30">
        <v>8</v>
      </c>
      <c r="U20" s="30">
        <v>11</v>
      </c>
      <c r="V20" s="30">
        <v>13</v>
      </c>
      <c r="W20" s="30">
        <v>16</v>
      </c>
      <c r="X20" s="30">
        <v>19</v>
      </c>
      <c r="Y20" s="30">
        <v>22</v>
      </c>
      <c r="Z20" s="30">
        <v>25</v>
      </c>
      <c r="AA20" s="30">
        <v>29</v>
      </c>
      <c r="AB20" s="30">
        <v>32</v>
      </c>
      <c r="AC20" s="30">
        <v>37</v>
      </c>
      <c r="AD20" s="30">
        <v>41</v>
      </c>
      <c r="AE20" s="30">
        <v>45</v>
      </c>
      <c r="AF20" s="30">
        <v>49</v>
      </c>
      <c r="AG20" s="30">
        <v>52</v>
      </c>
      <c r="AH20" s="30">
        <v>55</v>
      </c>
      <c r="AI20" s="30">
        <v>58</v>
      </c>
      <c r="AJ20" s="30">
        <v>61</v>
      </c>
      <c r="AK20" s="30">
        <v>63</v>
      </c>
      <c r="AL20" s="30">
        <v>66</v>
      </c>
      <c r="AM20" s="30">
        <v>68</v>
      </c>
      <c r="AN20" s="30">
        <v>70</v>
      </c>
      <c r="AO20" s="30">
        <v>71</v>
      </c>
      <c r="AP20" s="30">
        <v>73</v>
      </c>
    </row>
    <row r="21" spans="1:42" s="30" customFormat="1" x14ac:dyDescent="0.25">
      <c r="A21" s="30" t="s">
        <v>120</v>
      </c>
      <c r="B21" s="30" t="s">
        <v>9</v>
      </c>
      <c r="C21" s="30" t="s">
        <v>9</v>
      </c>
      <c r="D21" t="str">
        <f t="shared" si="10"/>
        <v>COM3</v>
      </c>
      <c r="E21" s="30">
        <v>10</v>
      </c>
      <c r="F21" s="30" t="s">
        <v>220</v>
      </c>
      <c r="G21" s="30">
        <v>0</v>
      </c>
      <c r="H21" s="30">
        <v>0</v>
      </c>
      <c r="I21" s="30">
        <v>0</v>
      </c>
      <c r="J21" s="30">
        <v>0</v>
      </c>
      <c r="K21" s="30">
        <v>0</v>
      </c>
      <c r="L21" s="43">
        <v>0</v>
      </c>
      <c r="M21" s="43">
        <v>0</v>
      </c>
      <c r="N21" s="43">
        <v>0</v>
      </c>
      <c r="O21" s="43">
        <v>0</v>
      </c>
      <c r="P21" s="42">
        <v>0</v>
      </c>
      <c r="Q21" s="43">
        <v>0</v>
      </c>
      <c r="R21" s="42">
        <f t="shared" si="11"/>
        <v>4.5</v>
      </c>
      <c r="S21" s="43">
        <v>9</v>
      </c>
      <c r="T21" s="43">
        <v>12</v>
      </c>
      <c r="U21" s="43">
        <v>13</v>
      </c>
      <c r="V21" s="43">
        <v>16</v>
      </c>
      <c r="W21" s="43">
        <v>19</v>
      </c>
      <c r="X21" s="43">
        <v>22</v>
      </c>
      <c r="Y21" s="43">
        <v>25</v>
      </c>
      <c r="Z21" s="43">
        <v>28</v>
      </c>
      <c r="AA21" s="43">
        <v>32</v>
      </c>
      <c r="AB21" s="43">
        <v>35</v>
      </c>
      <c r="AC21" s="43">
        <v>39</v>
      </c>
      <c r="AD21" s="43">
        <v>43</v>
      </c>
      <c r="AE21" s="43">
        <v>47</v>
      </c>
      <c r="AF21" s="43">
        <v>50</v>
      </c>
      <c r="AG21" s="43">
        <v>54</v>
      </c>
      <c r="AH21" s="43">
        <v>57</v>
      </c>
      <c r="AI21" s="43">
        <v>61</v>
      </c>
      <c r="AJ21" s="43">
        <v>64</v>
      </c>
      <c r="AK21" s="43">
        <v>68</v>
      </c>
      <c r="AL21" s="43">
        <v>71</v>
      </c>
      <c r="AM21" s="43">
        <v>75</v>
      </c>
      <c r="AN21" s="30">
        <v>78</v>
      </c>
      <c r="AO21" s="30">
        <v>82</v>
      </c>
      <c r="AP21" s="30">
        <v>85</v>
      </c>
    </row>
    <row r="22" spans="1:42" s="30" customFormat="1" x14ac:dyDescent="0.25">
      <c r="A22" s="30" t="s">
        <v>121</v>
      </c>
      <c r="B22" s="30" t="s">
        <v>9</v>
      </c>
      <c r="C22" s="30" t="s">
        <v>9</v>
      </c>
      <c r="D22" t="str">
        <f t="shared" si="10"/>
        <v>COM4</v>
      </c>
      <c r="E22" s="30">
        <v>11</v>
      </c>
      <c r="F22" s="30" t="s">
        <v>221</v>
      </c>
      <c r="G22" s="30">
        <v>0</v>
      </c>
      <c r="H22" s="30">
        <v>0</v>
      </c>
      <c r="I22" s="30">
        <v>0</v>
      </c>
      <c r="J22" s="30">
        <v>0</v>
      </c>
      <c r="K22" s="30">
        <v>0</v>
      </c>
      <c r="L22" s="30">
        <v>0</v>
      </c>
      <c r="M22" s="30">
        <v>0</v>
      </c>
      <c r="N22" s="30">
        <v>0</v>
      </c>
      <c r="O22" s="30">
        <v>0</v>
      </c>
      <c r="P22" s="42">
        <v>1</v>
      </c>
      <c r="Q22" s="30">
        <v>2</v>
      </c>
      <c r="R22" s="42">
        <f t="shared" si="11"/>
        <v>6.5</v>
      </c>
      <c r="S22" s="30">
        <v>11</v>
      </c>
      <c r="T22" s="30">
        <v>16</v>
      </c>
      <c r="U22" s="30">
        <v>22</v>
      </c>
      <c r="V22" s="30">
        <v>28</v>
      </c>
      <c r="W22" s="30">
        <v>35</v>
      </c>
      <c r="X22" s="30">
        <v>38</v>
      </c>
      <c r="Y22" s="30">
        <v>41</v>
      </c>
      <c r="Z22" s="30">
        <v>44</v>
      </c>
      <c r="AA22" s="30">
        <v>47</v>
      </c>
      <c r="AB22" s="30">
        <v>50</v>
      </c>
      <c r="AC22" s="30">
        <v>54</v>
      </c>
      <c r="AD22" s="30">
        <v>57</v>
      </c>
      <c r="AE22" s="30">
        <v>59</v>
      </c>
      <c r="AF22" s="30">
        <v>62</v>
      </c>
      <c r="AG22" s="30">
        <v>66</v>
      </c>
      <c r="AH22" s="30">
        <v>68</v>
      </c>
      <c r="AI22" s="30">
        <v>70</v>
      </c>
      <c r="AJ22" s="30">
        <v>72</v>
      </c>
      <c r="AK22" s="30">
        <v>74</v>
      </c>
      <c r="AL22" s="30">
        <v>76</v>
      </c>
      <c r="AM22" s="30">
        <v>77</v>
      </c>
      <c r="AN22" s="30">
        <v>78</v>
      </c>
      <c r="AO22" s="30">
        <v>79</v>
      </c>
      <c r="AP22" s="30">
        <v>80</v>
      </c>
    </row>
    <row r="23" spans="1:42" x14ac:dyDescent="0.25">
      <c r="A23" s="30" t="s">
        <v>122</v>
      </c>
      <c r="B23" s="30" t="s">
        <v>9</v>
      </c>
      <c r="C23" s="30" t="s">
        <v>9</v>
      </c>
      <c r="D23" t="str">
        <f t="shared" si="10"/>
        <v>COM5</v>
      </c>
      <c r="E23" s="30">
        <v>12</v>
      </c>
      <c r="F23" s="30" t="s">
        <v>222</v>
      </c>
      <c r="G23" s="30">
        <v>0</v>
      </c>
      <c r="H23" s="30">
        <v>0</v>
      </c>
      <c r="I23" s="30">
        <v>0</v>
      </c>
      <c r="J23" s="30">
        <v>0</v>
      </c>
      <c r="K23" s="30">
        <v>0</v>
      </c>
      <c r="L23">
        <v>0</v>
      </c>
      <c r="M23">
        <v>0</v>
      </c>
      <c r="N23">
        <v>0</v>
      </c>
      <c r="O23">
        <v>0</v>
      </c>
      <c r="P23" s="42">
        <f t="shared" ref="P23:P24" si="12">O23+(P$10)*((Q23-O23)/(Q$10-O$10))</f>
        <v>0</v>
      </c>
      <c r="Q23">
        <v>0</v>
      </c>
      <c r="R23" s="42">
        <f t="shared" si="11"/>
        <v>5.5</v>
      </c>
      <c r="S23">
        <v>11</v>
      </c>
      <c r="T23">
        <v>11</v>
      </c>
      <c r="U23">
        <v>12</v>
      </c>
      <c r="V23">
        <v>13</v>
      </c>
      <c r="W23">
        <v>15</v>
      </c>
      <c r="X23">
        <v>17</v>
      </c>
      <c r="Y23">
        <v>19</v>
      </c>
      <c r="Z23">
        <v>22</v>
      </c>
      <c r="AA23">
        <v>24</v>
      </c>
      <c r="AB23">
        <v>28</v>
      </c>
      <c r="AC23">
        <v>31</v>
      </c>
      <c r="AD23">
        <v>34</v>
      </c>
      <c r="AE23">
        <v>37</v>
      </c>
      <c r="AF23">
        <v>40</v>
      </c>
      <c r="AG23">
        <v>44</v>
      </c>
      <c r="AH23">
        <v>48</v>
      </c>
      <c r="AI23">
        <v>51</v>
      </c>
      <c r="AJ23">
        <v>55</v>
      </c>
      <c r="AK23">
        <v>59</v>
      </c>
      <c r="AL23">
        <v>63</v>
      </c>
      <c r="AM23">
        <v>67</v>
      </c>
      <c r="AN23">
        <v>71</v>
      </c>
      <c r="AO23">
        <v>75</v>
      </c>
      <c r="AP23">
        <v>79</v>
      </c>
    </row>
    <row r="24" spans="1:42" x14ac:dyDescent="0.25">
      <c r="A24" s="30" t="s">
        <v>123</v>
      </c>
      <c r="B24" s="30" t="s">
        <v>9</v>
      </c>
      <c r="C24" s="30" t="s">
        <v>9</v>
      </c>
      <c r="D24" t="str">
        <f t="shared" si="10"/>
        <v>COM6</v>
      </c>
      <c r="E24" s="30">
        <v>13</v>
      </c>
      <c r="F24" s="30" t="s">
        <v>226</v>
      </c>
      <c r="G24" s="30">
        <v>0</v>
      </c>
      <c r="H24" s="30">
        <v>0</v>
      </c>
      <c r="I24" s="30">
        <v>0</v>
      </c>
      <c r="J24" s="30">
        <v>0</v>
      </c>
      <c r="K24" s="30">
        <v>0</v>
      </c>
      <c r="L24">
        <v>0</v>
      </c>
      <c r="M24">
        <v>0</v>
      </c>
      <c r="N24">
        <v>0</v>
      </c>
      <c r="O24">
        <v>0</v>
      </c>
      <c r="P24" s="42">
        <f t="shared" si="12"/>
        <v>0</v>
      </c>
      <c r="Q24">
        <v>0</v>
      </c>
      <c r="R24" s="42">
        <f t="shared" si="11"/>
        <v>0</v>
      </c>
      <c r="S24">
        <v>0</v>
      </c>
      <c r="T24">
        <v>0</v>
      </c>
      <c r="U24">
        <v>20</v>
      </c>
      <c r="V24">
        <v>25</v>
      </c>
      <c r="W24">
        <v>30</v>
      </c>
      <c r="X24">
        <v>35</v>
      </c>
      <c r="Y24">
        <v>40</v>
      </c>
      <c r="Z24">
        <v>43</v>
      </c>
      <c r="AA24">
        <v>47</v>
      </c>
      <c r="AB24">
        <v>50</v>
      </c>
      <c r="AC24">
        <v>53</v>
      </c>
      <c r="AD24">
        <v>55</v>
      </c>
      <c r="AE24">
        <v>57</v>
      </c>
      <c r="AF24">
        <v>60</v>
      </c>
      <c r="AG24">
        <v>60</v>
      </c>
      <c r="AH24">
        <v>60</v>
      </c>
      <c r="AI24">
        <v>60</v>
      </c>
      <c r="AJ24">
        <v>60</v>
      </c>
      <c r="AK24">
        <v>60</v>
      </c>
      <c r="AL24">
        <v>60</v>
      </c>
      <c r="AM24">
        <v>60</v>
      </c>
      <c r="AN24">
        <v>60</v>
      </c>
      <c r="AO24">
        <v>60</v>
      </c>
      <c r="AP24">
        <v>60</v>
      </c>
    </row>
    <row r="25" spans="1:42" x14ac:dyDescent="0.25">
      <c r="A25" s="30" t="s">
        <v>124</v>
      </c>
      <c r="B25" s="30" t="s">
        <v>9</v>
      </c>
      <c r="C25" s="30" t="s">
        <v>9</v>
      </c>
      <c r="D25" t="str">
        <f t="shared" si="10"/>
        <v>COM7</v>
      </c>
      <c r="E25" s="30">
        <v>14</v>
      </c>
      <c r="F25" s="30" t="s">
        <v>225</v>
      </c>
      <c r="G25" s="30">
        <v>0</v>
      </c>
      <c r="H25" s="30">
        <v>0</v>
      </c>
      <c r="I25" s="30">
        <v>0</v>
      </c>
      <c r="J25" s="30">
        <v>0</v>
      </c>
      <c r="K25" s="30">
        <v>0</v>
      </c>
      <c r="L25">
        <v>0</v>
      </c>
      <c r="M25">
        <v>0</v>
      </c>
      <c r="N25">
        <v>0</v>
      </c>
      <c r="O25">
        <v>0</v>
      </c>
      <c r="P25" s="42">
        <v>1</v>
      </c>
      <c r="Q25">
        <v>2</v>
      </c>
      <c r="R25" s="42">
        <f t="shared" si="11"/>
        <v>6.5</v>
      </c>
      <c r="S25">
        <v>11</v>
      </c>
      <c r="T25">
        <v>12</v>
      </c>
      <c r="U25">
        <v>13</v>
      </c>
      <c r="V25">
        <v>14</v>
      </c>
      <c r="W25">
        <v>16</v>
      </c>
      <c r="X25">
        <v>17</v>
      </c>
      <c r="Y25">
        <v>18</v>
      </c>
      <c r="Z25">
        <v>20</v>
      </c>
      <c r="AA25">
        <v>22</v>
      </c>
      <c r="AB25">
        <v>24</v>
      </c>
      <c r="AC25">
        <v>27</v>
      </c>
      <c r="AD25">
        <v>30</v>
      </c>
      <c r="AE25">
        <v>34</v>
      </c>
      <c r="AF25">
        <v>37</v>
      </c>
      <c r="AG25">
        <v>41</v>
      </c>
      <c r="AH25">
        <v>44</v>
      </c>
      <c r="AI25">
        <v>48</v>
      </c>
      <c r="AJ25">
        <v>51</v>
      </c>
      <c r="AK25">
        <v>54</v>
      </c>
      <c r="AL25">
        <v>56</v>
      </c>
      <c r="AM25">
        <v>59</v>
      </c>
      <c r="AN25">
        <v>61</v>
      </c>
      <c r="AO25">
        <v>64</v>
      </c>
      <c r="AP25">
        <v>66</v>
      </c>
    </row>
    <row r="26" spans="1:42" x14ac:dyDescent="0.25">
      <c r="A26" s="30" t="s">
        <v>125</v>
      </c>
      <c r="B26" s="30" t="s">
        <v>9</v>
      </c>
      <c r="C26" s="30" t="s">
        <v>9</v>
      </c>
      <c r="D26" t="str">
        <f t="shared" si="10"/>
        <v>COM8</v>
      </c>
      <c r="E26" s="30">
        <v>15</v>
      </c>
      <c r="F26" s="30" t="s">
        <v>223</v>
      </c>
      <c r="G26" s="30">
        <v>0</v>
      </c>
      <c r="H26" s="30">
        <v>0</v>
      </c>
      <c r="I26" s="30">
        <v>0</v>
      </c>
      <c r="J26" s="30">
        <v>0</v>
      </c>
      <c r="K26" s="30">
        <v>0</v>
      </c>
      <c r="L26">
        <v>0</v>
      </c>
      <c r="M26">
        <v>0</v>
      </c>
      <c r="N26">
        <v>0</v>
      </c>
      <c r="O26">
        <v>0</v>
      </c>
      <c r="P26" s="42">
        <v>0.5</v>
      </c>
      <c r="Q26">
        <v>1</v>
      </c>
      <c r="R26" s="42">
        <f t="shared" si="11"/>
        <v>5</v>
      </c>
      <c r="S26">
        <v>9</v>
      </c>
      <c r="T26">
        <v>11</v>
      </c>
      <c r="U26">
        <v>12</v>
      </c>
      <c r="V26">
        <v>14</v>
      </c>
      <c r="W26">
        <v>16</v>
      </c>
      <c r="X26">
        <v>18</v>
      </c>
      <c r="Y26">
        <v>20</v>
      </c>
      <c r="Z26">
        <v>22</v>
      </c>
      <c r="AA26">
        <v>26</v>
      </c>
      <c r="AB26">
        <v>29</v>
      </c>
      <c r="AC26">
        <v>33</v>
      </c>
      <c r="AD26">
        <v>37</v>
      </c>
      <c r="AE26">
        <v>41</v>
      </c>
      <c r="AF26">
        <v>45</v>
      </c>
      <c r="AG26">
        <v>50</v>
      </c>
      <c r="AH26">
        <v>53</v>
      </c>
      <c r="AI26">
        <v>57</v>
      </c>
      <c r="AJ26">
        <v>60</v>
      </c>
      <c r="AK26">
        <v>63</v>
      </c>
      <c r="AL26">
        <v>66</v>
      </c>
      <c r="AM26">
        <v>69</v>
      </c>
      <c r="AN26">
        <v>73</v>
      </c>
      <c r="AO26">
        <v>76</v>
      </c>
      <c r="AP26">
        <v>78</v>
      </c>
    </row>
    <row r="27" spans="1:42" x14ac:dyDescent="0.25">
      <c r="A27" s="30" t="s">
        <v>126</v>
      </c>
      <c r="B27" s="30" t="s">
        <v>9</v>
      </c>
      <c r="C27" s="30" t="s">
        <v>9</v>
      </c>
      <c r="D27" t="str">
        <f t="shared" si="10"/>
        <v>COM9</v>
      </c>
      <c r="E27" s="30">
        <v>16</v>
      </c>
      <c r="F27" s="30" t="s">
        <v>224</v>
      </c>
      <c r="G27" s="30">
        <v>0</v>
      </c>
      <c r="H27" s="30">
        <v>0</v>
      </c>
      <c r="I27" s="30">
        <v>0</v>
      </c>
      <c r="J27" s="30">
        <v>0</v>
      </c>
      <c r="K27" s="30">
        <v>0</v>
      </c>
      <c r="L27">
        <v>0</v>
      </c>
      <c r="M27">
        <v>0</v>
      </c>
      <c r="N27">
        <v>0</v>
      </c>
      <c r="O27">
        <v>0</v>
      </c>
      <c r="P27" s="42">
        <v>0</v>
      </c>
      <c r="Q27">
        <v>0</v>
      </c>
      <c r="R27" s="42">
        <f t="shared" si="11"/>
        <v>1</v>
      </c>
      <c r="S27">
        <v>2</v>
      </c>
      <c r="T27">
        <v>4</v>
      </c>
      <c r="U27">
        <v>5</v>
      </c>
      <c r="V27">
        <v>5</v>
      </c>
      <c r="W27">
        <v>5</v>
      </c>
      <c r="X27">
        <v>6</v>
      </c>
      <c r="Y27">
        <v>8</v>
      </c>
      <c r="Z27">
        <v>10</v>
      </c>
      <c r="AA27">
        <v>12</v>
      </c>
      <c r="AB27">
        <v>15</v>
      </c>
      <c r="AC27">
        <v>20</v>
      </c>
      <c r="AD27">
        <v>24</v>
      </c>
      <c r="AE27">
        <v>29</v>
      </c>
      <c r="AF27">
        <v>35</v>
      </c>
      <c r="AG27">
        <v>42</v>
      </c>
      <c r="AH27">
        <v>49</v>
      </c>
      <c r="AI27">
        <v>56</v>
      </c>
      <c r="AJ27">
        <v>62</v>
      </c>
      <c r="AK27">
        <v>68</v>
      </c>
      <c r="AL27">
        <v>74</v>
      </c>
      <c r="AM27">
        <v>80</v>
      </c>
      <c r="AN27">
        <v>86</v>
      </c>
      <c r="AO27">
        <v>92</v>
      </c>
      <c r="AP27">
        <v>98</v>
      </c>
    </row>
    <row r="28" spans="1:42" x14ac:dyDescent="0.25">
      <c r="A28" s="30" t="s">
        <v>127</v>
      </c>
      <c r="B28" s="30" t="s">
        <v>9</v>
      </c>
      <c r="C28" s="30" t="s">
        <v>9</v>
      </c>
      <c r="D28" t="str">
        <f t="shared" si="10"/>
        <v>COM10</v>
      </c>
      <c r="E28" s="30">
        <v>17</v>
      </c>
      <c r="F28" s="30" t="s">
        <v>227</v>
      </c>
      <c r="G28" s="30">
        <v>0</v>
      </c>
      <c r="H28" s="30">
        <v>0</v>
      </c>
      <c r="I28" s="30">
        <v>0</v>
      </c>
      <c r="J28" s="30">
        <v>0</v>
      </c>
      <c r="K28" s="30">
        <v>0</v>
      </c>
      <c r="L28">
        <v>0</v>
      </c>
      <c r="M28">
        <v>0</v>
      </c>
      <c r="N28">
        <v>0</v>
      </c>
      <c r="O28">
        <v>0</v>
      </c>
      <c r="P28" s="42">
        <v>0</v>
      </c>
      <c r="Q28">
        <v>0</v>
      </c>
      <c r="R28" s="42">
        <f t="shared" si="11"/>
        <v>1.5</v>
      </c>
      <c r="S28">
        <v>3</v>
      </c>
      <c r="T28">
        <v>5</v>
      </c>
      <c r="U28">
        <v>6</v>
      </c>
      <c r="V28">
        <v>7</v>
      </c>
      <c r="W28">
        <v>8</v>
      </c>
      <c r="X28">
        <v>10</v>
      </c>
      <c r="Y28">
        <v>13</v>
      </c>
      <c r="Z28">
        <v>17</v>
      </c>
      <c r="AA28">
        <v>21</v>
      </c>
      <c r="AB28">
        <v>25</v>
      </c>
      <c r="AC28">
        <v>30</v>
      </c>
      <c r="AD28">
        <v>35</v>
      </c>
      <c r="AE28">
        <v>41</v>
      </c>
      <c r="AF28">
        <v>47</v>
      </c>
      <c r="AG28">
        <v>52</v>
      </c>
      <c r="AH28">
        <v>58</v>
      </c>
      <c r="AI28">
        <v>65</v>
      </c>
      <c r="AJ28">
        <v>71</v>
      </c>
      <c r="AK28">
        <v>76</v>
      </c>
      <c r="AL28">
        <v>81</v>
      </c>
      <c r="AM28">
        <v>86</v>
      </c>
      <c r="AN28">
        <v>91</v>
      </c>
      <c r="AO28">
        <v>96</v>
      </c>
      <c r="AP28">
        <v>100</v>
      </c>
    </row>
    <row r="29" spans="1:42" x14ac:dyDescent="0.25">
      <c r="A29" s="30" t="s">
        <v>136</v>
      </c>
      <c r="B29" s="30" t="s">
        <v>9</v>
      </c>
      <c r="C29" s="30" t="s">
        <v>9</v>
      </c>
      <c r="D29" t="str">
        <f t="shared" si="10"/>
        <v>GOV2</v>
      </c>
      <c r="E29" s="30">
        <v>18</v>
      </c>
      <c r="F29" s="30" t="s">
        <v>228</v>
      </c>
      <c r="G29" s="30">
        <v>0</v>
      </c>
      <c r="H29" s="30">
        <v>0</v>
      </c>
      <c r="I29" s="30">
        <v>0</v>
      </c>
      <c r="J29" s="30">
        <v>0</v>
      </c>
      <c r="K29" s="30">
        <v>0</v>
      </c>
      <c r="L29">
        <v>0</v>
      </c>
      <c r="M29">
        <v>0</v>
      </c>
      <c r="N29">
        <v>0</v>
      </c>
      <c r="O29">
        <v>0</v>
      </c>
      <c r="P29" s="42">
        <v>0</v>
      </c>
      <c r="Q29">
        <v>0</v>
      </c>
      <c r="R29" s="42">
        <f t="shared" si="11"/>
        <v>3.5</v>
      </c>
      <c r="S29">
        <v>7</v>
      </c>
      <c r="T29">
        <v>10</v>
      </c>
      <c r="U29">
        <v>11</v>
      </c>
      <c r="V29">
        <v>12</v>
      </c>
      <c r="W29">
        <v>15</v>
      </c>
      <c r="X29">
        <v>17</v>
      </c>
      <c r="Y29">
        <v>20</v>
      </c>
      <c r="Z29">
        <v>23</v>
      </c>
      <c r="AA29">
        <v>27</v>
      </c>
      <c r="AB29">
        <v>31</v>
      </c>
      <c r="AC29">
        <v>35</v>
      </c>
      <c r="AD29">
        <v>40</v>
      </c>
      <c r="AE29">
        <v>44</v>
      </c>
      <c r="AF29">
        <v>48</v>
      </c>
      <c r="AG29">
        <v>52</v>
      </c>
      <c r="AH29">
        <v>56</v>
      </c>
      <c r="AI29">
        <v>60</v>
      </c>
      <c r="AJ29">
        <v>64</v>
      </c>
      <c r="AK29">
        <v>68</v>
      </c>
      <c r="AL29">
        <v>72</v>
      </c>
      <c r="AM29">
        <v>76</v>
      </c>
      <c r="AN29">
        <v>80</v>
      </c>
      <c r="AO29">
        <v>84</v>
      </c>
      <c r="AP29">
        <v>88</v>
      </c>
    </row>
    <row r="30" spans="1:42" x14ac:dyDescent="0.25">
      <c r="A30" s="30" t="s">
        <v>128</v>
      </c>
      <c r="B30" s="30" t="s">
        <v>9</v>
      </c>
      <c r="C30" s="30" t="s">
        <v>9</v>
      </c>
      <c r="D30" t="str">
        <f t="shared" si="10"/>
        <v>IND1</v>
      </c>
      <c r="E30" s="30">
        <v>19</v>
      </c>
      <c r="F30" s="30" t="s">
        <v>229</v>
      </c>
      <c r="G30" s="30">
        <v>0</v>
      </c>
      <c r="H30" s="30">
        <v>0</v>
      </c>
      <c r="I30" s="30">
        <v>0</v>
      </c>
      <c r="J30" s="30">
        <v>0</v>
      </c>
      <c r="K30" s="30">
        <v>0</v>
      </c>
      <c r="L30">
        <v>0</v>
      </c>
      <c r="M30">
        <v>0</v>
      </c>
      <c r="N30">
        <v>0</v>
      </c>
      <c r="O30">
        <v>0</v>
      </c>
      <c r="P30" s="42">
        <v>0.5</v>
      </c>
      <c r="Q30">
        <v>1</v>
      </c>
      <c r="R30" s="42">
        <f t="shared" si="11"/>
        <v>5.5</v>
      </c>
      <c r="S30">
        <v>10</v>
      </c>
      <c r="T30">
        <v>12</v>
      </c>
      <c r="U30">
        <v>15</v>
      </c>
      <c r="V30">
        <v>19</v>
      </c>
      <c r="W30">
        <v>22</v>
      </c>
      <c r="X30">
        <v>26</v>
      </c>
      <c r="Y30">
        <v>30</v>
      </c>
      <c r="Z30">
        <v>35</v>
      </c>
      <c r="AA30">
        <v>39</v>
      </c>
      <c r="AB30">
        <v>42</v>
      </c>
      <c r="AC30">
        <v>48</v>
      </c>
      <c r="AD30">
        <v>50</v>
      </c>
      <c r="AE30">
        <v>51</v>
      </c>
      <c r="AF30">
        <v>53</v>
      </c>
      <c r="AG30">
        <v>54</v>
      </c>
      <c r="AH30">
        <v>55</v>
      </c>
      <c r="AI30">
        <v>55</v>
      </c>
      <c r="AJ30">
        <v>56</v>
      </c>
      <c r="AK30">
        <v>56</v>
      </c>
      <c r="AL30">
        <v>57</v>
      </c>
      <c r="AM30">
        <v>57</v>
      </c>
      <c r="AN30">
        <v>57</v>
      </c>
      <c r="AO30">
        <v>58</v>
      </c>
      <c r="AP30">
        <v>58</v>
      </c>
    </row>
    <row r="31" spans="1:42" x14ac:dyDescent="0.25">
      <c r="A31" s="30" t="s">
        <v>129</v>
      </c>
      <c r="B31" s="30" t="s">
        <v>9</v>
      </c>
      <c r="C31" s="30" t="s">
        <v>9</v>
      </c>
      <c r="D31" t="str">
        <f t="shared" si="10"/>
        <v>IND2</v>
      </c>
      <c r="E31" s="30">
        <v>20</v>
      </c>
      <c r="F31" s="30" t="s">
        <v>230</v>
      </c>
      <c r="G31" s="30">
        <v>0</v>
      </c>
      <c r="H31" s="30">
        <v>0</v>
      </c>
      <c r="I31" s="30">
        <v>0</v>
      </c>
      <c r="J31" s="30">
        <v>0</v>
      </c>
      <c r="K31" s="30">
        <v>0</v>
      </c>
      <c r="L31">
        <v>0</v>
      </c>
      <c r="M31">
        <v>0</v>
      </c>
      <c r="N31">
        <v>0</v>
      </c>
      <c r="O31">
        <v>0</v>
      </c>
      <c r="P31" s="42">
        <v>0.5</v>
      </c>
      <c r="Q31">
        <v>1</v>
      </c>
      <c r="R31" s="42">
        <f t="shared" si="11"/>
        <v>5</v>
      </c>
      <c r="S31">
        <v>9</v>
      </c>
      <c r="T31">
        <v>14</v>
      </c>
      <c r="U31">
        <v>17</v>
      </c>
      <c r="V31">
        <v>22</v>
      </c>
      <c r="W31">
        <v>26</v>
      </c>
      <c r="X31">
        <v>30</v>
      </c>
      <c r="Y31">
        <v>32</v>
      </c>
      <c r="Z31">
        <v>35</v>
      </c>
      <c r="AA31">
        <v>37</v>
      </c>
      <c r="AB31">
        <v>39</v>
      </c>
      <c r="AC31">
        <v>43</v>
      </c>
      <c r="AD31">
        <v>46</v>
      </c>
      <c r="AE31">
        <v>48</v>
      </c>
      <c r="AF31">
        <v>50</v>
      </c>
      <c r="AG31">
        <v>51</v>
      </c>
      <c r="AH31">
        <v>54</v>
      </c>
      <c r="AI31">
        <v>55</v>
      </c>
      <c r="AJ31">
        <v>57</v>
      </c>
      <c r="AK31">
        <v>59</v>
      </c>
      <c r="AL31">
        <v>60</v>
      </c>
      <c r="AM31">
        <v>62</v>
      </c>
      <c r="AN31">
        <v>63</v>
      </c>
      <c r="AO31">
        <v>65</v>
      </c>
      <c r="AP31">
        <v>66</v>
      </c>
    </row>
    <row r="32" spans="1:42" x14ac:dyDescent="0.25">
      <c r="A32" s="30" t="s">
        <v>130</v>
      </c>
      <c r="B32" s="30" t="s">
        <v>9</v>
      </c>
      <c r="C32" s="30" t="s">
        <v>9</v>
      </c>
      <c r="D32" t="str">
        <f t="shared" si="10"/>
        <v>IND3</v>
      </c>
      <c r="E32" s="30">
        <v>21</v>
      </c>
      <c r="F32" s="30" t="s">
        <v>231</v>
      </c>
      <c r="G32" s="30">
        <v>0</v>
      </c>
      <c r="H32" s="30">
        <v>0</v>
      </c>
      <c r="I32" s="30">
        <v>0</v>
      </c>
      <c r="J32" s="30">
        <v>0</v>
      </c>
      <c r="K32" s="30">
        <v>0</v>
      </c>
      <c r="L32">
        <v>0</v>
      </c>
      <c r="M32">
        <v>0</v>
      </c>
      <c r="N32">
        <v>0</v>
      </c>
      <c r="O32">
        <v>0</v>
      </c>
      <c r="P32" s="42">
        <v>0</v>
      </c>
      <c r="Q32">
        <v>0</v>
      </c>
      <c r="R32" s="42">
        <f t="shared" si="11"/>
        <v>6.5</v>
      </c>
      <c r="S32">
        <v>13</v>
      </c>
      <c r="T32">
        <v>14</v>
      </c>
      <c r="U32">
        <v>19</v>
      </c>
      <c r="V32">
        <v>22</v>
      </c>
      <c r="W32">
        <v>25</v>
      </c>
      <c r="X32">
        <v>28</v>
      </c>
      <c r="Y32">
        <v>30</v>
      </c>
      <c r="Z32">
        <v>33</v>
      </c>
      <c r="AA32">
        <v>34</v>
      </c>
      <c r="AB32">
        <v>36</v>
      </c>
      <c r="AC32">
        <v>39</v>
      </c>
      <c r="AD32">
        <v>40</v>
      </c>
      <c r="AE32">
        <v>42</v>
      </c>
      <c r="AF32">
        <v>42</v>
      </c>
      <c r="AG32">
        <v>43</v>
      </c>
      <c r="AH32">
        <v>43</v>
      </c>
      <c r="AI32">
        <v>44</v>
      </c>
      <c r="AJ32">
        <v>44</v>
      </c>
      <c r="AK32">
        <v>44</v>
      </c>
      <c r="AL32">
        <v>44</v>
      </c>
      <c r="AM32">
        <v>44</v>
      </c>
      <c r="AN32">
        <v>45</v>
      </c>
      <c r="AO32">
        <v>45</v>
      </c>
      <c r="AP32">
        <v>45</v>
      </c>
    </row>
    <row r="33" spans="1:42" x14ac:dyDescent="0.25">
      <c r="A33" s="30" t="s">
        <v>131</v>
      </c>
      <c r="B33" s="30" t="s">
        <v>9</v>
      </c>
      <c r="C33" s="30" t="s">
        <v>9</v>
      </c>
      <c r="D33" t="str">
        <f t="shared" si="10"/>
        <v>IND4</v>
      </c>
      <c r="E33" s="30">
        <v>22</v>
      </c>
      <c r="F33" s="30" t="s">
        <v>232</v>
      </c>
      <c r="G33" s="30">
        <v>0</v>
      </c>
      <c r="H33" s="30">
        <v>0</v>
      </c>
      <c r="I33" s="30">
        <v>0</v>
      </c>
      <c r="J33" s="30">
        <v>0</v>
      </c>
      <c r="K33" s="30">
        <v>0</v>
      </c>
      <c r="L33">
        <v>0</v>
      </c>
      <c r="M33">
        <v>0</v>
      </c>
      <c r="N33">
        <v>0</v>
      </c>
      <c r="O33">
        <v>0</v>
      </c>
      <c r="P33" s="42">
        <v>0</v>
      </c>
      <c r="Q33">
        <v>0</v>
      </c>
      <c r="R33" s="42">
        <f t="shared" si="11"/>
        <v>5</v>
      </c>
      <c r="S33">
        <v>10</v>
      </c>
      <c r="T33">
        <v>14</v>
      </c>
      <c r="U33">
        <v>18</v>
      </c>
      <c r="V33">
        <v>22</v>
      </c>
      <c r="W33">
        <v>26</v>
      </c>
      <c r="X33">
        <v>34</v>
      </c>
      <c r="Y33">
        <v>41</v>
      </c>
      <c r="Z33">
        <v>42</v>
      </c>
      <c r="AA33">
        <v>42</v>
      </c>
      <c r="AB33">
        <v>45</v>
      </c>
      <c r="AC33">
        <v>47</v>
      </c>
      <c r="AD33">
        <v>49</v>
      </c>
      <c r="AE33">
        <v>50</v>
      </c>
      <c r="AF33">
        <v>50</v>
      </c>
      <c r="AG33">
        <v>50</v>
      </c>
      <c r="AH33">
        <v>50</v>
      </c>
      <c r="AI33">
        <v>50</v>
      </c>
      <c r="AJ33">
        <v>50</v>
      </c>
      <c r="AK33">
        <v>50</v>
      </c>
      <c r="AL33">
        <v>50</v>
      </c>
      <c r="AM33">
        <v>50</v>
      </c>
      <c r="AN33">
        <v>50</v>
      </c>
      <c r="AO33">
        <v>50</v>
      </c>
      <c r="AP33">
        <v>50</v>
      </c>
    </row>
    <row r="34" spans="1:42" x14ac:dyDescent="0.25">
      <c r="A34" s="30" t="s">
        <v>132</v>
      </c>
      <c r="B34" s="30" t="s">
        <v>9</v>
      </c>
      <c r="C34" s="30" t="s">
        <v>9</v>
      </c>
      <c r="D34" t="str">
        <f t="shared" si="10"/>
        <v>IND5</v>
      </c>
      <c r="E34" s="30">
        <v>23</v>
      </c>
      <c r="F34" s="30" t="s">
        <v>233</v>
      </c>
      <c r="G34" s="30">
        <v>0</v>
      </c>
      <c r="H34" s="30">
        <v>0</v>
      </c>
      <c r="I34" s="30">
        <v>0</v>
      </c>
      <c r="J34" s="30">
        <v>0</v>
      </c>
      <c r="K34" s="30">
        <v>0</v>
      </c>
      <c r="L34">
        <v>0</v>
      </c>
      <c r="M34">
        <v>0</v>
      </c>
      <c r="N34">
        <v>0</v>
      </c>
      <c r="O34">
        <v>0</v>
      </c>
      <c r="P34" s="42">
        <v>0</v>
      </c>
      <c r="Q34">
        <v>0</v>
      </c>
      <c r="R34" s="42">
        <f t="shared" si="11"/>
        <v>6.5</v>
      </c>
      <c r="S34">
        <v>13</v>
      </c>
      <c r="T34">
        <v>14</v>
      </c>
      <c r="U34">
        <v>19</v>
      </c>
      <c r="V34">
        <v>22</v>
      </c>
      <c r="W34">
        <v>25</v>
      </c>
      <c r="X34">
        <v>28</v>
      </c>
      <c r="Y34">
        <v>30</v>
      </c>
      <c r="Z34">
        <v>33</v>
      </c>
      <c r="AA34">
        <v>34</v>
      </c>
      <c r="AB34">
        <v>36</v>
      </c>
      <c r="AC34">
        <v>39</v>
      </c>
      <c r="AD34">
        <v>40</v>
      </c>
      <c r="AE34">
        <v>42</v>
      </c>
      <c r="AF34">
        <v>42</v>
      </c>
      <c r="AG34">
        <v>43</v>
      </c>
      <c r="AH34">
        <v>43</v>
      </c>
      <c r="AI34">
        <v>44</v>
      </c>
      <c r="AJ34">
        <v>44</v>
      </c>
      <c r="AK34">
        <v>44</v>
      </c>
      <c r="AL34">
        <v>44</v>
      </c>
      <c r="AM34">
        <v>44</v>
      </c>
      <c r="AN34">
        <v>45</v>
      </c>
      <c r="AO34">
        <v>45</v>
      </c>
      <c r="AP34">
        <v>45</v>
      </c>
    </row>
    <row r="35" spans="1:42" x14ac:dyDescent="0.25">
      <c r="A35" s="30" t="s">
        <v>133</v>
      </c>
      <c r="B35" s="30" t="s">
        <v>9</v>
      </c>
      <c r="C35" s="30" t="s">
        <v>9</v>
      </c>
      <c r="D35" t="str">
        <f t="shared" si="10"/>
        <v>IND6</v>
      </c>
      <c r="E35" s="30">
        <v>24</v>
      </c>
      <c r="F35" s="30" t="s">
        <v>234</v>
      </c>
      <c r="G35" s="30">
        <v>0</v>
      </c>
      <c r="H35" s="30">
        <v>0</v>
      </c>
      <c r="I35" s="30">
        <v>0</v>
      </c>
      <c r="J35" s="30">
        <v>0</v>
      </c>
      <c r="K35" s="30">
        <v>0</v>
      </c>
      <c r="L35">
        <v>0</v>
      </c>
      <c r="M35">
        <v>0</v>
      </c>
      <c r="N35">
        <v>0</v>
      </c>
      <c r="O35">
        <v>0</v>
      </c>
      <c r="P35" s="42">
        <v>0</v>
      </c>
      <c r="Q35">
        <v>0</v>
      </c>
      <c r="R35" s="42">
        <f t="shared" si="11"/>
        <v>11</v>
      </c>
      <c r="S35">
        <v>22</v>
      </c>
      <c r="T35">
        <v>31</v>
      </c>
      <c r="U35">
        <v>37</v>
      </c>
      <c r="V35">
        <v>43</v>
      </c>
      <c r="W35">
        <v>47</v>
      </c>
      <c r="X35">
        <v>50</v>
      </c>
      <c r="Y35">
        <v>54</v>
      </c>
      <c r="Z35">
        <v>57</v>
      </c>
      <c r="AA35">
        <v>61</v>
      </c>
      <c r="AB35">
        <v>63</v>
      </c>
      <c r="AC35">
        <v>64</v>
      </c>
      <c r="AD35">
        <v>65</v>
      </c>
      <c r="AE35">
        <v>67</v>
      </c>
      <c r="AF35">
        <v>68</v>
      </c>
      <c r="AG35">
        <v>69</v>
      </c>
      <c r="AH35">
        <v>70</v>
      </c>
      <c r="AI35">
        <v>71</v>
      </c>
      <c r="AJ35">
        <v>72</v>
      </c>
      <c r="AK35">
        <v>73</v>
      </c>
      <c r="AL35">
        <v>74</v>
      </c>
      <c r="AM35">
        <v>75</v>
      </c>
      <c r="AN35">
        <v>76</v>
      </c>
      <c r="AO35">
        <v>76</v>
      </c>
      <c r="AP35">
        <v>77</v>
      </c>
    </row>
    <row r="36" spans="1:42" x14ac:dyDescent="0.25">
      <c r="A36" s="30" t="s">
        <v>137</v>
      </c>
      <c r="B36" s="30" t="s">
        <v>9</v>
      </c>
      <c r="C36" s="30" t="s">
        <v>9</v>
      </c>
      <c r="D36" t="str">
        <f t="shared" si="10"/>
        <v>EDU1</v>
      </c>
      <c r="E36" s="30">
        <v>25</v>
      </c>
      <c r="F36" s="30" t="s">
        <v>235</v>
      </c>
      <c r="G36" s="30">
        <v>0</v>
      </c>
      <c r="H36" s="30">
        <v>0</v>
      </c>
      <c r="I36" s="30">
        <v>0</v>
      </c>
      <c r="J36" s="30">
        <v>0</v>
      </c>
      <c r="K36" s="30">
        <v>0</v>
      </c>
      <c r="L36">
        <v>0</v>
      </c>
      <c r="M36">
        <v>0</v>
      </c>
      <c r="N36">
        <v>0</v>
      </c>
      <c r="O36">
        <v>0</v>
      </c>
      <c r="P36" s="42">
        <v>0</v>
      </c>
      <c r="Q36">
        <v>0</v>
      </c>
      <c r="R36" s="42">
        <f t="shared" si="11"/>
        <v>2.5</v>
      </c>
      <c r="S36">
        <v>5</v>
      </c>
      <c r="T36">
        <v>7</v>
      </c>
      <c r="U36">
        <v>9</v>
      </c>
      <c r="V36">
        <v>9</v>
      </c>
      <c r="W36">
        <v>10</v>
      </c>
      <c r="X36">
        <v>11</v>
      </c>
      <c r="Y36">
        <v>13</v>
      </c>
      <c r="Z36">
        <v>15</v>
      </c>
      <c r="AA36">
        <v>17</v>
      </c>
      <c r="AB36">
        <v>20</v>
      </c>
      <c r="AC36">
        <v>24</v>
      </c>
      <c r="AD36">
        <v>28</v>
      </c>
      <c r="AE36">
        <v>33</v>
      </c>
      <c r="AF36">
        <v>39</v>
      </c>
      <c r="AG36">
        <v>45</v>
      </c>
      <c r="AH36">
        <v>52</v>
      </c>
      <c r="AI36">
        <v>59</v>
      </c>
      <c r="AJ36">
        <v>64</v>
      </c>
      <c r="AK36">
        <v>69</v>
      </c>
      <c r="AL36">
        <v>74</v>
      </c>
      <c r="AM36">
        <v>79</v>
      </c>
      <c r="AN36">
        <v>84</v>
      </c>
      <c r="AO36">
        <v>89</v>
      </c>
      <c r="AP36">
        <v>94</v>
      </c>
    </row>
    <row r="37" spans="1:42" x14ac:dyDescent="0.25">
      <c r="A37" s="30" t="s">
        <v>138</v>
      </c>
      <c r="B37" s="30" t="s">
        <v>9</v>
      </c>
      <c r="C37" s="30" t="s">
        <v>9</v>
      </c>
      <c r="D37" t="str">
        <f t="shared" si="10"/>
        <v>EDU2</v>
      </c>
      <c r="E37" s="30">
        <v>26</v>
      </c>
      <c r="F37" s="30" t="s">
        <v>236</v>
      </c>
      <c r="G37" s="30">
        <v>0</v>
      </c>
      <c r="H37" s="30">
        <v>0</v>
      </c>
      <c r="I37" s="30">
        <v>0</v>
      </c>
      <c r="J37" s="30">
        <v>0</v>
      </c>
      <c r="K37" s="30">
        <v>0</v>
      </c>
      <c r="L37">
        <v>0</v>
      </c>
      <c r="M37">
        <v>0</v>
      </c>
      <c r="N37">
        <v>0</v>
      </c>
      <c r="O37">
        <v>0</v>
      </c>
      <c r="P37" s="42">
        <v>0</v>
      </c>
      <c r="Q37">
        <v>0</v>
      </c>
      <c r="R37" s="42">
        <f t="shared" si="11"/>
        <v>2.5</v>
      </c>
      <c r="S37">
        <v>5</v>
      </c>
      <c r="T37">
        <v>7</v>
      </c>
      <c r="U37">
        <v>9</v>
      </c>
      <c r="V37">
        <v>9</v>
      </c>
      <c r="W37">
        <v>10</v>
      </c>
      <c r="X37">
        <v>11</v>
      </c>
      <c r="Y37">
        <v>13</v>
      </c>
      <c r="Z37">
        <v>15</v>
      </c>
      <c r="AA37">
        <v>17</v>
      </c>
      <c r="AB37">
        <v>20</v>
      </c>
      <c r="AC37">
        <v>24</v>
      </c>
      <c r="AD37">
        <v>28</v>
      </c>
      <c r="AE37">
        <v>33</v>
      </c>
      <c r="AF37">
        <v>39</v>
      </c>
      <c r="AG37">
        <v>45</v>
      </c>
      <c r="AH37">
        <v>52</v>
      </c>
      <c r="AI37">
        <v>59</v>
      </c>
      <c r="AJ37">
        <v>64</v>
      </c>
      <c r="AK37">
        <v>69</v>
      </c>
      <c r="AL37">
        <v>74</v>
      </c>
      <c r="AM37">
        <v>79</v>
      </c>
      <c r="AN37">
        <v>84</v>
      </c>
      <c r="AO37">
        <v>89</v>
      </c>
      <c r="AP37">
        <v>94</v>
      </c>
    </row>
    <row r="38" spans="1:42" x14ac:dyDescent="0.25">
      <c r="A38" s="30" t="s">
        <v>0</v>
      </c>
      <c r="B38" s="30">
        <v>3</v>
      </c>
      <c r="C38" s="30" t="s">
        <v>5</v>
      </c>
      <c r="D38" t="str">
        <f>A38&amp;"."&amp;B38&amp;"."&amp;C38</f>
        <v>RES1.3.Slab</v>
      </c>
      <c r="E38" s="30">
        <v>26</v>
      </c>
      <c r="F38" s="30" t="s">
        <v>240</v>
      </c>
      <c r="G38">
        <v>0</v>
      </c>
      <c r="H38">
        <v>0</v>
      </c>
      <c r="I38">
        <v>0</v>
      </c>
      <c r="J38">
        <v>0</v>
      </c>
      <c r="K38">
        <v>0</v>
      </c>
      <c r="L38">
        <v>0</v>
      </c>
      <c r="M38">
        <v>0</v>
      </c>
      <c r="N38">
        <v>0</v>
      </c>
      <c r="O38">
        <v>0</v>
      </c>
      <c r="P38" s="42">
        <v>2</v>
      </c>
      <c r="Q38">
        <v>4</v>
      </c>
      <c r="R38" s="42">
        <f>Q38+(R$10)*((S38-Q38)/(S$10-Q$10))</f>
        <v>6</v>
      </c>
      <c r="S38">
        <v>8</v>
      </c>
      <c r="T38">
        <v>12</v>
      </c>
      <c r="U38">
        <v>17</v>
      </c>
      <c r="V38">
        <v>19</v>
      </c>
      <c r="W38">
        <v>22</v>
      </c>
      <c r="X38">
        <v>24</v>
      </c>
      <c r="Y38">
        <v>25</v>
      </c>
      <c r="Z38">
        <v>30</v>
      </c>
      <c r="AA38">
        <v>35</v>
      </c>
      <c r="AB38">
        <v>38</v>
      </c>
      <c r="AC38">
        <v>40</v>
      </c>
      <c r="AD38">
        <v>42</v>
      </c>
      <c r="AE38">
        <v>44</v>
      </c>
      <c r="AF38">
        <v>46</v>
      </c>
      <c r="AG38">
        <v>48</v>
      </c>
      <c r="AH38">
        <v>50</v>
      </c>
      <c r="AI38">
        <v>52</v>
      </c>
      <c r="AJ38">
        <v>54</v>
      </c>
      <c r="AK38">
        <v>56</v>
      </c>
      <c r="AL38">
        <v>58</v>
      </c>
      <c r="AM38">
        <v>60</v>
      </c>
      <c r="AN38">
        <v>62</v>
      </c>
      <c r="AO38">
        <v>64</v>
      </c>
      <c r="AP38">
        <v>66</v>
      </c>
    </row>
    <row r="39" spans="1:42" x14ac:dyDescent="0.25">
      <c r="A39" s="30" t="s">
        <v>92</v>
      </c>
      <c r="B39" s="30">
        <v>4</v>
      </c>
      <c r="C39" s="30" t="s">
        <v>5</v>
      </c>
      <c r="D39" t="str">
        <f>A39&amp;"."&amp;B39&amp;"."&amp;C39</f>
        <v>RES2.4.Slab</v>
      </c>
      <c r="E39" s="30">
        <v>27</v>
      </c>
      <c r="F39" s="30" t="s">
        <v>240</v>
      </c>
      <c r="G39">
        <v>0</v>
      </c>
      <c r="H39">
        <v>0</v>
      </c>
      <c r="I39">
        <v>0</v>
      </c>
      <c r="J39">
        <v>0</v>
      </c>
      <c r="K39">
        <v>0</v>
      </c>
      <c r="L39">
        <v>0</v>
      </c>
      <c r="M39">
        <v>0</v>
      </c>
      <c r="N39">
        <v>3</v>
      </c>
      <c r="O39">
        <v>5</v>
      </c>
      <c r="P39" s="42">
        <v>5.5</v>
      </c>
      <c r="Q39">
        <v>6</v>
      </c>
      <c r="R39" s="42">
        <f>Q39+(R$10)*((S39-Q39)/(S$10-Q$10))</f>
        <v>7.5</v>
      </c>
      <c r="S39">
        <v>9</v>
      </c>
      <c r="T39">
        <v>15</v>
      </c>
      <c r="U39">
        <v>20</v>
      </c>
      <c r="V39">
        <v>26</v>
      </c>
      <c r="W39">
        <v>31</v>
      </c>
      <c r="X39">
        <v>33</v>
      </c>
      <c r="Y39">
        <v>36</v>
      </c>
      <c r="Z39">
        <v>39</v>
      </c>
      <c r="AA39">
        <v>42</v>
      </c>
      <c r="AB39">
        <v>45</v>
      </c>
      <c r="AC39">
        <v>46</v>
      </c>
      <c r="AD39">
        <v>47</v>
      </c>
      <c r="AE39">
        <v>48</v>
      </c>
      <c r="AF39">
        <v>49</v>
      </c>
      <c r="AG39">
        <v>50</v>
      </c>
      <c r="AH39">
        <v>51</v>
      </c>
      <c r="AI39">
        <v>52</v>
      </c>
      <c r="AJ39">
        <v>53</v>
      </c>
      <c r="AK39">
        <v>54</v>
      </c>
      <c r="AL39">
        <v>55</v>
      </c>
      <c r="AM39">
        <v>56</v>
      </c>
      <c r="AN39">
        <v>57</v>
      </c>
      <c r="AO39">
        <v>58</v>
      </c>
      <c r="AP39">
        <v>59</v>
      </c>
    </row>
    <row r="40" spans="1:42" x14ac:dyDescent="0.25">
      <c r="A40" s="30" t="s">
        <v>0</v>
      </c>
      <c r="B40" s="30">
        <v>3</v>
      </c>
      <c r="C40" s="30" t="s">
        <v>3</v>
      </c>
      <c r="D40" t="str">
        <f>A40&amp;"."&amp;B40&amp;"."&amp;C40</f>
        <v>RES1.3.Basement</v>
      </c>
      <c r="E40" s="30">
        <v>28</v>
      </c>
      <c r="F40" s="30" t="s">
        <v>240</v>
      </c>
      <c r="G40">
        <v>0</v>
      </c>
      <c r="H40">
        <v>0</v>
      </c>
      <c r="I40">
        <v>0</v>
      </c>
      <c r="J40">
        <v>0</v>
      </c>
      <c r="K40">
        <v>0</v>
      </c>
      <c r="L40">
        <v>0</v>
      </c>
      <c r="M40">
        <v>0</v>
      </c>
      <c r="N40">
        <v>3</v>
      </c>
      <c r="O40">
        <v>5</v>
      </c>
      <c r="P40" s="42">
        <v>5.5</v>
      </c>
      <c r="Q40">
        <v>6</v>
      </c>
      <c r="R40" s="42">
        <f>Q40+(R$10)*((S40-Q40)/(S$10-Q$10))</f>
        <v>7.5</v>
      </c>
      <c r="S40">
        <v>9</v>
      </c>
      <c r="T40">
        <v>15</v>
      </c>
      <c r="U40">
        <v>20</v>
      </c>
      <c r="V40">
        <v>26</v>
      </c>
      <c r="W40">
        <v>31</v>
      </c>
      <c r="X40">
        <v>33</v>
      </c>
      <c r="Y40" s="45">
        <v>36</v>
      </c>
      <c r="Z40">
        <v>39</v>
      </c>
      <c r="AA40" s="45">
        <v>42</v>
      </c>
      <c r="AB40">
        <v>45</v>
      </c>
      <c r="AC40">
        <v>46</v>
      </c>
      <c r="AD40">
        <v>47</v>
      </c>
      <c r="AE40">
        <v>48</v>
      </c>
      <c r="AF40">
        <v>49</v>
      </c>
      <c r="AG40">
        <v>50</v>
      </c>
      <c r="AH40">
        <v>51</v>
      </c>
      <c r="AI40">
        <v>52</v>
      </c>
      <c r="AJ40">
        <v>53</v>
      </c>
      <c r="AK40">
        <v>54</v>
      </c>
      <c r="AL40">
        <v>55</v>
      </c>
      <c r="AM40">
        <v>56</v>
      </c>
      <c r="AN40">
        <v>57</v>
      </c>
      <c r="AO40">
        <v>58</v>
      </c>
      <c r="AP40">
        <v>59</v>
      </c>
    </row>
    <row r="41" spans="1:42" x14ac:dyDescent="0.25">
      <c r="A41" s="30" t="s">
        <v>0</v>
      </c>
      <c r="B41" s="30">
        <v>2</v>
      </c>
      <c r="C41" s="30" t="s">
        <v>203</v>
      </c>
      <c r="D41" t="str">
        <f>A41&amp;"."&amp;B41&amp;"."&amp;C41</f>
        <v>RES1.2.Piers</v>
      </c>
      <c r="E41" s="30">
        <v>29</v>
      </c>
      <c r="F41" s="30" t="s">
        <v>368</v>
      </c>
      <c r="G41">
        <v>0</v>
      </c>
      <c r="H41">
        <v>0</v>
      </c>
      <c r="I41">
        <v>0</v>
      </c>
      <c r="J41">
        <v>0</v>
      </c>
      <c r="K41">
        <v>0</v>
      </c>
      <c r="L41">
        <v>0</v>
      </c>
      <c r="M41">
        <v>0</v>
      </c>
      <c r="N41">
        <v>0</v>
      </c>
      <c r="O41">
        <v>1</v>
      </c>
      <c r="P41" s="42">
        <f>O41+($P$10-O$10)*((Q41-O41)/(Q$10-O$10))</f>
        <v>3.5</v>
      </c>
      <c r="Q41">
        <v>6</v>
      </c>
      <c r="R41" s="42">
        <f>Q41+(R$10)*((S41-Q41)/(S$10-Q$10))</f>
        <v>12.5</v>
      </c>
      <c r="S41">
        <v>19</v>
      </c>
      <c r="T41">
        <v>25</v>
      </c>
      <c r="U41">
        <v>25</v>
      </c>
      <c r="V41">
        <v>31</v>
      </c>
      <c r="W41">
        <v>39</v>
      </c>
      <c r="X41">
        <v>39</v>
      </c>
      <c r="Y41">
        <v>39</v>
      </c>
      <c r="Z41">
        <v>43</v>
      </c>
      <c r="AA41">
        <v>46</v>
      </c>
      <c r="AB41">
        <v>51</v>
      </c>
      <c r="AC41">
        <v>60</v>
      </c>
      <c r="AD41">
        <v>60</v>
      </c>
      <c r="AE41">
        <v>75</v>
      </c>
      <c r="AF41">
        <v>75</v>
      </c>
      <c r="AG41">
        <v>75</v>
      </c>
      <c r="AH41">
        <v>75</v>
      </c>
      <c r="AI41">
        <v>75</v>
      </c>
      <c r="AJ41">
        <v>75</v>
      </c>
      <c r="AK41">
        <v>75</v>
      </c>
      <c r="AL41">
        <v>75</v>
      </c>
      <c r="AM41">
        <v>75</v>
      </c>
      <c r="AN41">
        <v>75</v>
      </c>
      <c r="AO41">
        <v>75</v>
      </c>
      <c r="AP41">
        <v>75</v>
      </c>
    </row>
    <row r="42" spans="1:42" x14ac:dyDescent="0.25">
      <c r="A42" s="30" t="s">
        <v>238</v>
      </c>
      <c r="B42" s="30" t="s">
        <v>9</v>
      </c>
      <c r="C42" s="30" t="s">
        <v>9</v>
      </c>
      <c r="D42" t="str">
        <f>A42</f>
        <v>UNK</v>
      </c>
      <c r="E42" s="30">
        <v>30</v>
      </c>
      <c r="F42" s="30" t="s">
        <v>237</v>
      </c>
      <c r="G42">
        <v>0</v>
      </c>
      <c r="H42">
        <v>0</v>
      </c>
      <c r="I42">
        <v>0</v>
      </c>
      <c r="J42">
        <v>0</v>
      </c>
      <c r="K42">
        <v>0</v>
      </c>
      <c r="L42">
        <v>0</v>
      </c>
      <c r="M42">
        <v>0</v>
      </c>
      <c r="N42">
        <v>0</v>
      </c>
      <c r="O42">
        <v>0</v>
      </c>
      <c r="P42">
        <v>0</v>
      </c>
      <c r="Q42">
        <v>0</v>
      </c>
      <c r="R42">
        <f>AVERAGE(R11:R40)</f>
        <v>7.7166666666666668</v>
      </c>
      <c r="S42">
        <f t="shared" ref="S42:AP42" si="13">AVERAGE(S11:S40)</f>
        <v>12.1</v>
      </c>
      <c r="T42">
        <f t="shared" si="13"/>
        <v>16.066666666666666</v>
      </c>
      <c r="U42">
        <f t="shared" si="13"/>
        <v>20.6</v>
      </c>
      <c r="V42">
        <f t="shared" si="13"/>
        <v>24.333333333333332</v>
      </c>
      <c r="W42">
        <f t="shared" si="13"/>
        <v>28.133333333333333</v>
      </c>
      <c r="X42">
        <f t="shared" si="13"/>
        <v>31.65</v>
      </c>
      <c r="Y42">
        <f t="shared" si="13"/>
        <v>35.266666666666666</v>
      </c>
      <c r="Z42">
        <f t="shared" si="13"/>
        <v>38.288888888888891</v>
      </c>
      <c r="AA42">
        <f t="shared" si="13"/>
        <v>41.31111111111111</v>
      </c>
      <c r="AB42">
        <f t="shared" si="13"/>
        <v>44.4</v>
      </c>
      <c r="AC42">
        <f t="shared" si="13"/>
        <v>47.633333333333333</v>
      </c>
      <c r="AD42">
        <f t="shared" si="13"/>
        <v>50.533333333333331</v>
      </c>
      <c r="AE42">
        <f t="shared" si="13"/>
        <v>53.533333333333331</v>
      </c>
      <c r="AF42">
        <f t="shared" si="13"/>
        <v>56.411111111111119</v>
      </c>
      <c r="AG42">
        <f t="shared" si="13"/>
        <v>59.322222222222216</v>
      </c>
      <c r="AH42">
        <f t="shared" si="13"/>
        <v>61.93333333333333</v>
      </c>
      <c r="AI42">
        <f t="shared" si="13"/>
        <v>64.577777777777783</v>
      </c>
      <c r="AJ42">
        <f t="shared" si="13"/>
        <v>66.922222222222217</v>
      </c>
      <c r="AK42">
        <f t="shared" si="13"/>
        <v>69.2</v>
      </c>
      <c r="AL42">
        <f t="shared" si="13"/>
        <v>71.3</v>
      </c>
      <c r="AM42">
        <f t="shared" si="13"/>
        <v>73.37777777777778</v>
      </c>
      <c r="AN42">
        <f t="shared" si="13"/>
        <v>75.36666666666666</v>
      </c>
      <c r="AO42">
        <f t="shared" si="13"/>
        <v>77.211111111111123</v>
      </c>
      <c r="AP42">
        <f t="shared" si="13"/>
        <v>78.8888888888889</v>
      </c>
    </row>
  </sheetData>
  <mergeCells count="1">
    <mergeCell ref="G9:AP9"/>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19"/>
  <sheetViews>
    <sheetView zoomScale="90" zoomScaleNormal="90" workbookViewId="0">
      <selection activeCell="A14" sqref="A14:XFD14"/>
    </sheetView>
  </sheetViews>
  <sheetFormatPr defaultRowHeight="15" x14ac:dyDescent="0.25"/>
  <cols>
    <col min="1" max="1" width="15.42578125" customWidth="1"/>
    <col min="4" max="4" width="12.7109375" bestFit="1" customWidth="1"/>
    <col min="10" max="10" width="12.5703125" customWidth="1"/>
    <col min="16" max="16" width="10.28515625" customWidth="1"/>
    <col min="17" max="17" width="11" customWidth="1"/>
    <col min="18" max="18" width="10.7109375" customWidth="1"/>
    <col min="19" max="19" width="14.7109375" customWidth="1"/>
  </cols>
  <sheetData>
    <row r="1" spans="1:19" x14ac:dyDescent="0.25">
      <c r="A1" t="s">
        <v>341</v>
      </c>
    </row>
    <row r="8" spans="1:19" x14ac:dyDescent="0.25">
      <c r="B8" s="1" t="s">
        <v>243</v>
      </c>
      <c r="C8" s="1"/>
      <c r="D8" s="1"/>
      <c r="K8" s="1" t="s">
        <v>244</v>
      </c>
      <c r="L8" s="1"/>
    </row>
    <row r="9" spans="1:19" x14ac:dyDescent="0.25">
      <c r="A9" s="1"/>
      <c r="B9" s="30">
        <v>0.5</v>
      </c>
      <c r="C9" s="30">
        <v>0.05</v>
      </c>
      <c r="D9" s="30">
        <v>0.01</v>
      </c>
      <c r="E9" s="110" t="s">
        <v>104</v>
      </c>
      <c r="F9" s="110"/>
      <c r="G9" s="110"/>
      <c r="H9" s="110"/>
      <c r="I9" s="110"/>
      <c r="M9" s="1"/>
      <c r="N9" s="110" t="s">
        <v>104</v>
      </c>
      <c r="O9" s="110"/>
      <c r="P9" s="110"/>
      <c r="Q9" s="110"/>
      <c r="R9" s="110"/>
    </row>
    <row r="10" spans="1:19" ht="51" customHeight="1" x14ac:dyDescent="0.25">
      <c r="A10" s="1" t="s">
        <v>242</v>
      </c>
      <c r="B10" s="72" t="s">
        <v>245</v>
      </c>
      <c r="C10" s="72" t="s">
        <v>55</v>
      </c>
      <c r="D10" s="72" t="s">
        <v>56</v>
      </c>
      <c r="E10" s="73" t="s">
        <v>96</v>
      </c>
      <c r="F10" s="73" t="s">
        <v>97</v>
      </c>
      <c r="G10" s="73" t="s">
        <v>98</v>
      </c>
      <c r="H10" s="73" t="s">
        <v>99</v>
      </c>
      <c r="I10" s="73" t="s">
        <v>100</v>
      </c>
      <c r="J10" s="76" t="s">
        <v>246</v>
      </c>
      <c r="K10" s="74" t="s">
        <v>245</v>
      </c>
      <c r="L10" s="74" t="s">
        <v>55</v>
      </c>
      <c r="M10" s="74" t="s">
        <v>56</v>
      </c>
      <c r="N10" s="75" t="s">
        <v>96</v>
      </c>
      <c r="O10" s="75" t="s">
        <v>97</v>
      </c>
      <c r="P10" s="75" t="s">
        <v>98</v>
      </c>
      <c r="Q10" s="75" t="s">
        <v>99</v>
      </c>
      <c r="R10" s="75" t="s">
        <v>100</v>
      </c>
      <c r="S10" s="77" t="s">
        <v>247</v>
      </c>
    </row>
    <row r="11" spans="1:19" x14ac:dyDescent="0.25">
      <c r="A11" s="97" t="s">
        <v>312</v>
      </c>
      <c r="B11" s="99">
        <v>12.169</v>
      </c>
      <c r="C11" s="99">
        <v>12.885</v>
      </c>
      <c r="D11" s="99">
        <v>13.173</v>
      </c>
      <c r="E11" s="99">
        <f>$D$9*D11</f>
        <v>0.13173000000000001</v>
      </c>
      <c r="F11" s="99">
        <f>(0.5)*(D11-C11)*($C$9-$D$9)</f>
        <v>5.7600000000000056E-3</v>
      </c>
      <c r="G11" s="99">
        <f>(C11)*($C$9-$D$9)</f>
        <v>0.51539999999999997</v>
      </c>
      <c r="H11" s="99">
        <f>(0.5)*($B$9-$C$9)*(C11-B11)</f>
        <v>0.16109999999999985</v>
      </c>
      <c r="I11" s="99">
        <f>($B$9-$C$9)*B11</f>
        <v>5.4760500000000008</v>
      </c>
      <c r="J11" s="99">
        <f>SUM(E11:I11)</f>
        <v>6.2900400000000003</v>
      </c>
      <c r="K11" s="100">
        <v>12.097</v>
      </c>
      <c r="L11" s="100">
        <v>12.882</v>
      </c>
      <c r="M11" s="100">
        <v>13.173</v>
      </c>
      <c r="N11" s="99">
        <f>$D$9*M11</f>
        <v>0.13173000000000001</v>
      </c>
      <c r="O11" s="99">
        <f>(0.5)*(M11-L11)*($C$9-$D$9)</f>
        <v>5.8200000000000075E-3</v>
      </c>
      <c r="P11" s="99">
        <f>(L11)*($C$9-$D$9)</f>
        <v>0.51527999999999996</v>
      </c>
      <c r="Q11" s="99">
        <f>(0.5)*($B$9-$C$9)*(L11-K11)</f>
        <v>0.17662500000000003</v>
      </c>
      <c r="R11" s="99">
        <f>($B$9-$C$9)*K11</f>
        <v>5.4436499999999999</v>
      </c>
      <c r="S11" s="99">
        <f>SUM(N11:R11)</f>
        <v>6.2731050000000002</v>
      </c>
    </row>
    <row r="12" spans="1:19" x14ac:dyDescent="0.25">
      <c r="A12" t="s">
        <v>308</v>
      </c>
      <c r="B12" s="87">
        <v>0</v>
      </c>
      <c r="C12" s="87">
        <v>1.4470000000000001</v>
      </c>
      <c r="D12" s="87">
        <v>3.19</v>
      </c>
      <c r="E12" s="87">
        <f>$D$9*D12</f>
        <v>3.1899999999999998E-2</v>
      </c>
      <c r="F12" s="87">
        <f>(0.5)*(D12-C12)*($C$9-$D$9)</f>
        <v>3.4859999999999995E-2</v>
      </c>
      <c r="G12" s="87">
        <f>(C12)*($C$9-$D$9)</f>
        <v>5.7880000000000001E-2</v>
      </c>
      <c r="H12" s="87">
        <f>(0.5)*($B$9-$C$9)*(C12-B12)</f>
        <v>0.325575</v>
      </c>
      <c r="I12" s="87">
        <f>($B$9-$C$9)*B12</f>
        <v>0</v>
      </c>
      <c r="J12" s="87">
        <f>SUM(E12:I12)</f>
        <v>0.45021499999999998</v>
      </c>
      <c r="K12" s="87">
        <v>0</v>
      </c>
      <c r="L12" s="87">
        <v>0.89300000000000002</v>
      </c>
      <c r="M12" s="101">
        <v>3.1840000000000002</v>
      </c>
      <c r="N12" s="87">
        <f>$D$9*M12</f>
        <v>3.184E-2</v>
      </c>
      <c r="O12" s="87">
        <f>(0.5)*(M12-L12)*($C$9-$D$9)</f>
        <v>4.5820000000000007E-2</v>
      </c>
      <c r="P12" s="87">
        <f>(L12)*($C$9-$D$9)</f>
        <v>3.5720000000000002E-2</v>
      </c>
      <c r="Q12" s="87">
        <f>(0.5)*($B$9-$C$9)*(L12-K12)</f>
        <v>0.20092500000000002</v>
      </c>
      <c r="R12" s="87">
        <f>($B$9-$C$9)*K12</f>
        <v>0</v>
      </c>
      <c r="S12" s="87">
        <f>SUM(N12:R12)</f>
        <v>0.31430500000000006</v>
      </c>
    </row>
    <row r="13" spans="1:19" x14ac:dyDescent="0.25">
      <c r="A13" s="97" t="s">
        <v>303</v>
      </c>
      <c r="B13" s="99">
        <v>0</v>
      </c>
      <c r="C13" s="99">
        <v>0</v>
      </c>
      <c r="D13" s="99">
        <v>2.7211730261499998</v>
      </c>
      <c r="E13" s="99">
        <f>$D$9*D13</f>
        <v>2.7211730261499999E-2</v>
      </c>
      <c r="F13" s="99">
        <f>(0.5)*(D13-C13)*($C$9-$D$9)</f>
        <v>5.4423460522999997E-2</v>
      </c>
      <c r="G13" s="99">
        <f>(C13)*($C$9-$D$9)</f>
        <v>0</v>
      </c>
      <c r="H13" s="99">
        <f>(0.5)*($B$9-$C$9)*(C13-B13)</f>
        <v>0</v>
      </c>
      <c r="I13" s="99">
        <f>($B$9-$C$9)*B13</f>
        <v>0</v>
      </c>
      <c r="J13" s="99">
        <f>SUM(E13:I13)</f>
        <v>8.1635190784499989E-2</v>
      </c>
      <c r="K13" s="99">
        <v>0.10100000000000001</v>
      </c>
      <c r="L13" s="99">
        <v>0.19</v>
      </c>
      <c r="M13" s="99">
        <v>0.192</v>
      </c>
      <c r="N13" s="99">
        <f>$D$9*M13</f>
        <v>1.92E-3</v>
      </c>
      <c r="O13" s="99">
        <f>(0.5)*(M13-L13)*($C$9-$D$9)</f>
        <v>4.0000000000000037E-5</v>
      </c>
      <c r="P13" s="99">
        <f>(L13)*($C$9-$D$9)</f>
        <v>7.6E-3</v>
      </c>
      <c r="Q13" s="99">
        <f>(0.5)*($B$9-$C$9)*(L13-K13)</f>
        <v>2.0025000000000001E-2</v>
      </c>
      <c r="R13" s="99">
        <f>($B$9-$C$9)*K13</f>
        <v>4.5450000000000004E-2</v>
      </c>
      <c r="S13" s="99">
        <f>SUM(N13:R13)</f>
        <v>7.5035000000000004E-2</v>
      </c>
    </row>
    <row r="14" spans="1:19" x14ac:dyDescent="0.25">
      <c r="B14" s="87"/>
      <c r="C14" s="87"/>
      <c r="D14" s="87"/>
      <c r="E14" s="87"/>
      <c r="F14" s="87"/>
      <c r="G14" s="87"/>
      <c r="H14" s="87"/>
      <c r="I14" s="87"/>
      <c r="J14" s="87"/>
      <c r="K14" s="87"/>
      <c r="L14" s="87"/>
      <c r="M14" s="87"/>
      <c r="N14" s="87"/>
      <c r="O14" s="87"/>
      <c r="P14" s="87"/>
      <c r="Q14" s="87"/>
      <c r="R14" s="87"/>
      <c r="S14" s="87"/>
    </row>
    <row r="15" spans="1:19" x14ac:dyDescent="0.25">
      <c r="A15" s="97" t="s">
        <v>307</v>
      </c>
      <c r="B15" s="99">
        <v>0.12542048135799999</v>
      </c>
      <c r="C15" s="99">
        <v>0.19004584580200001</v>
      </c>
      <c r="D15" s="99">
        <v>0.19228505490799999</v>
      </c>
      <c r="E15" s="99">
        <f>$D$9*D15</f>
        <v>1.92285054908E-3</v>
      </c>
      <c r="F15" s="99">
        <f>(0.5)*(D15-C15)*($C$9-$D$9)</f>
        <v>4.4784182119999572E-5</v>
      </c>
      <c r="G15" s="99">
        <f>(C15)*($C$9-$D$9)</f>
        <v>7.6018338320800009E-3</v>
      </c>
      <c r="H15" s="99">
        <f>(0.5)*($B$9-$C$9)*(C15-B15)</f>
        <v>1.4540706999900005E-2</v>
      </c>
      <c r="I15" s="99">
        <f>($B$9-$C$9)*B15</f>
        <v>5.6439216611099997E-2</v>
      </c>
      <c r="J15" s="99">
        <f>SUM(E15:I15)</f>
        <v>8.0549392174280005E-2</v>
      </c>
      <c r="K15" s="99">
        <v>0.12542048135799999</v>
      </c>
      <c r="L15" s="99">
        <v>0.19004584580200001</v>
      </c>
      <c r="M15" s="99">
        <v>0.19228505490799999</v>
      </c>
      <c r="N15" s="99">
        <f>$D$9*M15</f>
        <v>1.92285054908E-3</v>
      </c>
      <c r="O15" s="99">
        <f>(0.5)*(M15-L15)*($C$9-$D$9)</f>
        <v>4.4784182119999572E-5</v>
      </c>
      <c r="P15" s="99">
        <f>(L15)*($C$9-$D$9)</f>
        <v>7.6018338320800009E-3</v>
      </c>
      <c r="Q15" s="99">
        <f>(0.5)*($B$9-$C$9)*(L15-K15)</f>
        <v>1.4540706999900005E-2</v>
      </c>
      <c r="R15" s="99">
        <f>($B$9-$C$9)*K15</f>
        <v>5.6439216611099997E-2</v>
      </c>
      <c r="S15" s="99">
        <f>SUM(N15:R15)</f>
        <v>8.0549392174280005E-2</v>
      </c>
    </row>
    <row r="16" spans="1:19" x14ac:dyDescent="0.25">
      <c r="A16" t="s">
        <v>301</v>
      </c>
      <c r="B16" s="87">
        <v>4.19069873415E-3</v>
      </c>
      <c r="C16" s="87">
        <v>0.90104640630400001</v>
      </c>
      <c r="D16" s="87">
        <v>1.60900635238</v>
      </c>
      <c r="E16" s="87">
        <f t="shared" ref="E16:E19" si="0">$D$9*D16</f>
        <v>1.6090063523800002E-2</v>
      </c>
      <c r="F16" s="87">
        <f t="shared" ref="F16:F17" si="1">(0.5)*(D16-C16)*($C$9-$D$9)</f>
        <v>1.4159198921520001E-2</v>
      </c>
      <c r="G16" s="87">
        <f t="shared" ref="G16:G17" si="2">(C16)*($C$9-$D$9)</f>
        <v>3.6041856252159998E-2</v>
      </c>
      <c r="H16" s="87">
        <f t="shared" ref="H16:H17" si="3">(0.5)*($B$9-$C$9)*(C16-B16)</f>
        <v>0.20179253420321625</v>
      </c>
      <c r="I16" s="87">
        <f t="shared" ref="I16:I17" si="4">($B$9-$C$9)*B16</f>
        <v>1.8858144303675001E-3</v>
      </c>
      <c r="J16" s="87">
        <f t="shared" ref="J16:J17" si="5">SUM(E16:I16)</f>
        <v>0.26996946733106375</v>
      </c>
      <c r="K16" s="87">
        <v>4.19069873415E-3</v>
      </c>
      <c r="L16" s="87">
        <v>0.88255492630900001</v>
      </c>
      <c r="M16" s="87">
        <v>1.60798038096</v>
      </c>
      <c r="N16" s="87">
        <f t="shared" ref="N16:N19" si="6">$D$9*M16</f>
        <v>1.6079803809599998E-2</v>
      </c>
      <c r="O16" s="87">
        <f t="shared" ref="O16:O17" si="7">(0.5)*(M16-L16)*($C$9-$D$9)</f>
        <v>1.4508509093019999E-2</v>
      </c>
      <c r="P16" s="87">
        <f t="shared" ref="P16:P17" si="8">(L16)*($C$9-$D$9)</f>
        <v>3.5302197052359999E-2</v>
      </c>
      <c r="Q16" s="87">
        <f t="shared" ref="Q16:Q17" si="9">(0.5)*($B$9-$C$9)*(L16-K16)</f>
        <v>0.19763195120434127</v>
      </c>
      <c r="R16" s="87">
        <f t="shared" ref="R16:R17" si="10">($B$9-$C$9)*K16</f>
        <v>1.8858144303675001E-3</v>
      </c>
      <c r="S16" s="87">
        <f t="shared" ref="S16:S17" si="11">SUM(N16:R16)</f>
        <v>0.26540827558968877</v>
      </c>
    </row>
    <row r="17" spans="1:19" x14ac:dyDescent="0.25">
      <c r="A17" s="97" t="s">
        <v>300</v>
      </c>
      <c r="B17" s="99">
        <v>0</v>
      </c>
      <c r="C17" s="99">
        <v>0</v>
      </c>
      <c r="D17" s="99">
        <v>1.4228991499399999E-3</v>
      </c>
      <c r="E17" s="99">
        <f t="shared" si="0"/>
        <v>1.42289914994E-5</v>
      </c>
      <c r="F17" s="99">
        <f t="shared" si="1"/>
        <v>2.8457982998799999E-5</v>
      </c>
      <c r="G17" s="99">
        <f t="shared" si="2"/>
        <v>0</v>
      </c>
      <c r="H17" s="99">
        <f t="shared" si="3"/>
        <v>0</v>
      </c>
      <c r="I17" s="99">
        <f t="shared" si="4"/>
        <v>0</v>
      </c>
      <c r="J17" s="99">
        <f t="shared" si="5"/>
        <v>4.2686974498200001E-5</v>
      </c>
      <c r="K17" s="99">
        <v>0</v>
      </c>
      <c r="L17" s="99">
        <v>0</v>
      </c>
      <c r="M17" s="99">
        <v>1.4228991499399999E-3</v>
      </c>
      <c r="N17" s="99">
        <f t="shared" si="6"/>
        <v>1.42289914994E-5</v>
      </c>
      <c r="O17" s="99">
        <f t="shared" si="7"/>
        <v>2.8457982998799999E-5</v>
      </c>
      <c r="P17" s="99">
        <f t="shared" si="8"/>
        <v>0</v>
      </c>
      <c r="Q17" s="99">
        <f t="shared" si="9"/>
        <v>0</v>
      </c>
      <c r="R17" s="99">
        <f t="shared" si="10"/>
        <v>0</v>
      </c>
      <c r="S17" s="99">
        <f t="shared" si="11"/>
        <v>4.2686974498200001E-5</v>
      </c>
    </row>
    <row r="18" spans="1:19" x14ac:dyDescent="0.25">
      <c r="A18" t="s">
        <v>306</v>
      </c>
      <c r="B18" s="87">
        <v>0.414837767435</v>
      </c>
      <c r="C18" s="87">
        <v>0.53529335770499997</v>
      </c>
      <c r="D18" s="87">
        <v>0.75168727445000005</v>
      </c>
      <c r="E18" s="87">
        <f t="shared" si="0"/>
        <v>7.5168727445000007E-3</v>
      </c>
      <c r="F18" s="87">
        <f t="shared" ref="F18" si="12">(0.5)*(D18-C18)*($C$9-$D$9)</f>
        <v>4.3278783349000021E-3</v>
      </c>
      <c r="G18" s="87">
        <f t="shared" ref="G18" si="13">(C18)*($C$9-$D$9)</f>
        <v>2.1411734308199998E-2</v>
      </c>
      <c r="H18" s="87">
        <f t="shared" ref="H18" si="14">(0.5)*($B$9-$C$9)*(C18-B18)</f>
        <v>2.7102507810749993E-2</v>
      </c>
      <c r="I18" s="87">
        <f t="shared" ref="I18" si="15">($B$9-$C$9)*B18</f>
        <v>0.18667699534575</v>
      </c>
      <c r="J18" s="87">
        <f t="shared" ref="J18" si="16">SUM(E18:I18)</f>
        <v>0.2470359885441</v>
      </c>
      <c r="K18" s="87">
        <v>0.27359898519100001</v>
      </c>
      <c r="L18" s="87">
        <v>0.53529335770499997</v>
      </c>
      <c r="M18" s="87">
        <v>0.75168727445000005</v>
      </c>
      <c r="N18" s="87">
        <f t="shared" si="6"/>
        <v>7.5168727445000007E-3</v>
      </c>
      <c r="O18" s="87">
        <f t="shared" ref="O18" si="17">(0.5)*(M18-L18)*($C$9-$D$9)</f>
        <v>4.3278783349000021E-3</v>
      </c>
      <c r="P18" s="87">
        <f t="shared" ref="P18" si="18">(L18)*($C$9-$D$9)</f>
        <v>2.1411734308199998E-2</v>
      </c>
      <c r="Q18" s="87">
        <f t="shared" ref="Q18" si="19">(0.5)*($B$9-$C$9)*(L18-K18)</f>
        <v>5.888123381564999E-2</v>
      </c>
      <c r="R18" s="87">
        <f t="shared" ref="R18" si="20">($B$9-$C$9)*K18</f>
        <v>0.12311954333595</v>
      </c>
      <c r="S18" s="87">
        <f t="shared" ref="S18" si="21">SUM(N18:R18)</f>
        <v>0.21525726253919999</v>
      </c>
    </row>
    <row r="19" spans="1:19" x14ac:dyDescent="0.25">
      <c r="A19" s="97" t="s">
        <v>304</v>
      </c>
      <c r="B19" s="97">
        <v>0.19549184753099999</v>
      </c>
      <c r="C19" s="97">
        <v>0.19549184753099999</v>
      </c>
      <c r="D19" s="97">
        <v>0.19549184753099999</v>
      </c>
      <c r="E19" s="99">
        <f t="shared" si="0"/>
        <v>1.9549184753100001E-3</v>
      </c>
      <c r="F19" s="99">
        <f t="shared" ref="F19" si="22">(0.5)*(D19-C19)*($C$9-$D$9)</f>
        <v>0</v>
      </c>
      <c r="G19" s="99">
        <f t="shared" ref="G19" si="23">(C19)*($C$9-$D$9)</f>
        <v>7.8196739012400002E-3</v>
      </c>
      <c r="H19" s="99">
        <f t="shared" ref="H19" si="24">(0.5)*($B$9-$C$9)*(C19-B19)</f>
        <v>0</v>
      </c>
      <c r="I19" s="99">
        <f t="shared" ref="I19" si="25">($B$9-$C$9)*B19</f>
        <v>8.7971331388949997E-2</v>
      </c>
      <c r="J19" s="99">
        <f t="shared" ref="J19" si="26">SUM(E19:I19)</f>
        <v>9.7745923765499995E-2</v>
      </c>
      <c r="K19" s="97">
        <v>0.19549184753099999</v>
      </c>
      <c r="L19" s="97">
        <v>0.19549184753099999</v>
      </c>
      <c r="M19" s="97">
        <v>0.19549184753099999</v>
      </c>
      <c r="N19" s="99">
        <f t="shared" si="6"/>
        <v>1.9549184753100001E-3</v>
      </c>
      <c r="O19" s="99">
        <f t="shared" ref="O19" si="27">(0.5)*(M19-L19)*($C$9-$D$9)</f>
        <v>0</v>
      </c>
      <c r="P19" s="99">
        <f t="shared" ref="P19" si="28">(L19)*($C$9-$D$9)</f>
        <v>7.8196739012400002E-3</v>
      </c>
      <c r="Q19" s="99">
        <f t="shared" ref="Q19" si="29">(0.5)*($B$9-$C$9)*(L19-K19)</f>
        <v>0</v>
      </c>
      <c r="R19" s="99">
        <f t="shared" ref="R19" si="30">($B$9-$C$9)*K19</f>
        <v>8.7971331388949997E-2</v>
      </c>
      <c r="S19" s="99">
        <f t="shared" ref="S19" si="31">SUM(N19:R19)</f>
        <v>9.7745923765499995E-2</v>
      </c>
    </row>
  </sheetData>
  <mergeCells count="2">
    <mergeCell ref="E9:I9"/>
    <mergeCell ref="N9:R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1"/>
  <sheetViews>
    <sheetView workbookViewId="0">
      <pane xSplit="1" ySplit="10" topLeftCell="B11" activePane="bottomRight" state="frozen"/>
      <selection pane="topRight" activeCell="B1" sqref="B1"/>
      <selection pane="bottomLeft" activeCell="A11" sqref="A11"/>
      <selection pane="bottomRight" activeCell="B19" sqref="B19"/>
    </sheetView>
  </sheetViews>
  <sheetFormatPr defaultRowHeight="15" x14ac:dyDescent="0.25"/>
  <cols>
    <col min="1" max="1" width="19.28515625" customWidth="1"/>
    <col min="2" max="2" width="12.28515625" customWidth="1"/>
    <col min="3" max="3" width="12.42578125" customWidth="1"/>
    <col min="4" max="4" width="11.85546875" customWidth="1"/>
    <col min="5" max="5" width="11.5703125" customWidth="1"/>
    <col min="6" max="10" width="6.28515625" customWidth="1"/>
    <col min="11" max="11" width="8.42578125" customWidth="1"/>
    <col min="14" max="14" width="11.7109375" customWidth="1"/>
    <col min="15" max="19" width="7.7109375" customWidth="1"/>
  </cols>
  <sheetData>
    <row r="1" spans="1:20" x14ac:dyDescent="0.25">
      <c r="A1" t="s">
        <v>370</v>
      </c>
    </row>
    <row r="8" spans="1:20" ht="15" customHeight="1" x14ac:dyDescent="0.25">
      <c r="C8" s="108" t="s">
        <v>101</v>
      </c>
      <c r="D8" s="108"/>
      <c r="E8" s="108"/>
      <c r="F8" s="108"/>
      <c r="G8" s="108"/>
      <c r="H8" s="108"/>
      <c r="I8" s="108"/>
      <c r="J8" s="108"/>
      <c r="K8" s="108"/>
      <c r="L8" s="109" t="s">
        <v>103</v>
      </c>
      <c r="M8" s="109"/>
      <c r="N8" s="109"/>
      <c r="O8" s="109"/>
      <c r="P8" s="109"/>
      <c r="Q8" s="109"/>
      <c r="R8" s="109"/>
      <c r="S8" s="109"/>
      <c r="T8" s="109"/>
    </row>
    <row r="9" spans="1:20" ht="51" customHeight="1" x14ac:dyDescent="0.25">
      <c r="C9" s="27">
        <v>0.5</v>
      </c>
      <c r="D9" s="27">
        <v>0.05</v>
      </c>
      <c r="E9" s="27">
        <v>0.01</v>
      </c>
      <c r="F9" s="110" t="s">
        <v>289</v>
      </c>
      <c r="G9" s="110"/>
      <c r="H9" s="110"/>
      <c r="I9" s="110"/>
      <c r="J9" s="110"/>
      <c r="K9" s="111" t="s">
        <v>102</v>
      </c>
      <c r="L9" s="31">
        <v>0.5</v>
      </c>
      <c r="M9" s="31">
        <v>0.05</v>
      </c>
      <c r="N9" s="31">
        <v>0.01</v>
      </c>
      <c r="O9" s="112" t="s">
        <v>104</v>
      </c>
      <c r="P9" s="112"/>
      <c r="Q9" s="112"/>
      <c r="R9" s="112"/>
      <c r="S9" s="112"/>
      <c r="T9" s="111" t="s">
        <v>102</v>
      </c>
    </row>
    <row r="10" spans="1:20" x14ac:dyDescent="0.25">
      <c r="A10" t="s">
        <v>70</v>
      </c>
      <c r="B10" s="91" t="s">
        <v>369</v>
      </c>
      <c r="C10" s="30" t="s">
        <v>245</v>
      </c>
      <c r="D10" s="30" t="s">
        <v>55</v>
      </c>
      <c r="E10" s="30" t="s">
        <v>56</v>
      </c>
      <c r="F10" t="s">
        <v>96</v>
      </c>
      <c r="G10" t="s">
        <v>97</v>
      </c>
      <c r="H10" t="s">
        <v>98</v>
      </c>
      <c r="I10" t="s">
        <v>99</v>
      </c>
      <c r="J10" t="s">
        <v>100</v>
      </c>
      <c r="K10" s="111"/>
      <c r="L10" s="30" t="s">
        <v>245</v>
      </c>
      <c r="M10" s="30" t="s">
        <v>55</v>
      </c>
      <c r="N10" s="30" t="s">
        <v>56</v>
      </c>
      <c r="O10" t="s">
        <v>96</v>
      </c>
      <c r="P10" t="s">
        <v>97</v>
      </c>
      <c r="Q10" t="s">
        <v>98</v>
      </c>
      <c r="R10" t="s">
        <v>99</v>
      </c>
      <c r="S10" t="s">
        <v>100</v>
      </c>
      <c r="T10" s="111"/>
    </row>
    <row r="11" spans="1:20" x14ac:dyDescent="0.25">
      <c r="A11" s="80" t="s">
        <v>312</v>
      </c>
      <c r="B11" s="93"/>
      <c r="C11" s="79">
        <v>0</v>
      </c>
      <c r="D11" s="79">
        <v>0</v>
      </c>
      <c r="E11" s="79">
        <v>0</v>
      </c>
      <c r="F11" s="80">
        <f>$E$9*E11</f>
        <v>0</v>
      </c>
      <c r="G11" s="80">
        <f>(0.5)*(E11-D11)*($D$9-$E$9)</f>
        <v>0</v>
      </c>
      <c r="H11" s="80">
        <f>(D11)*($D$9-$E$9)</f>
        <v>0</v>
      </c>
      <c r="I11" s="80">
        <f>(0.5)*($C$9-$D$9)*(D11-C11)</f>
        <v>0</v>
      </c>
      <c r="J11" s="80">
        <f>($C$9-$D$9)*C11</f>
        <v>0</v>
      </c>
      <c r="K11" s="80">
        <f>SUM(F11:J11)</f>
        <v>0</v>
      </c>
      <c r="L11" s="79">
        <v>0</v>
      </c>
      <c r="M11" s="79">
        <v>0</v>
      </c>
      <c r="N11" s="79">
        <v>0</v>
      </c>
      <c r="O11" s="80">
        <f>$E$9*N11</f>
        <v>0</v>
      </c>
      <c r="P11" s="80">
        <f>(0.5)*(N11-M11)*($D$9-$E$9)</f>
        <v>0</v>
      </c>
      <c r="Q11" s="80">
        <f>(M11)*($D$9-$E$9)</f>
        <v>0</v>
      </c>
      <c r="R11" s="80">
        <f>(0.5)*($C$9-$D$9)*(M11-L11)</f>
        <v>0</v>
      </c>
      <c r="S11" s="80">
        <f>($C$9-$D$9)*L11</f>
        <v>0</v>
      </c>
      <c r="T11" s="80">
        <f>SUM(O11:S11)</f>
        <v>0</v>
      </c>
    </row>
    <row r="12" spans="1:20" x14ac:dyDescent="0.25">
      <c r="A12" s="81" t="s">
        <v>308</v>
      </c>
      <c r="B12" s="94"/>
      <c r="C12" s="95">
        <v>0</v>
      </c>
      <c r="D12" s="95">
        <v>0</v>
      </c>
      <c r="E12" s="95">
        <v>2</v>
      </c>
      <c r="F12" s="81">
        <f>$E$9*E12</f>
        <v>0.02</v>
      </c>
      <c r="G12" s="81">
        <f>(0.5)*(E12-D12)*($D$9-$E$9)</f>
        <v>0.04</v>
      </c>
      <c r="H12" s="81">
        <f>(D12)*($D$9-$E$9)</f>
        <v>0</v>
      </c>
      <c r="I12" s="81">
        <f>(0.5)*($C$9-$D$9)*(D12-C12)</f>
        <v>0</v>
      </c>
      <c r="J12" s="81">
        <f>($C$9-$D$9)*C12</f>
        <v>0</v>
      </c>
      <c r="K12" s="81">
        <f>SUM(F12:J12)</f>
        <v>0.06</v>
      </c>
      <c r="L12" s="95">
        <v>0</v>
      </c>
      <c r="M12" s="95">
        <v>0</v>
      </c>
      <c r="N12" s="95">
        <v>2</v>
      </c>
      <c r="O12" s="81">
        <f>$E$9*N12</f>
        <v>0.02</v>
      </c>
      <c r="P12" s="81">
        <f>(0.5)*(N12-M12)*($D$9-$E$9)</f>
        <v>0.04</v>
      </c>
      <c r="Q12" s="81">
        <f>(M12)*($D$9-$E$9)</f>
        <v>0</v>
      </c>
      <c r="R12" s="81">
        <f>(0.5)*($C$9-$D$9)*(M12-L12)</f>
        <v>0</v>
      </c>
      <c r="S12" s="81">
        <f>($C$9-$D$9)*L12</f>
        <v>0</v>
      </c>
      <c r="T12" s="81">
        <f>SUM(O12:S12)</f>
        <v>0.06</v>
      </c>
    </row>
    <row r="13" spans="1:20" x14ac:dyDescent="0.25">
      <c r="A13" s="83" t="s">
        <v>303</v>
      </c>
      <c r="B13" s="93">
        <v>1</v>
      </c>
      <c r="C13" s="79">
        <f>COUNTIFS(Damage!$B$11:$B$100,Metric21!$A13,Damage!$A$11:$A$100,2,Damage!$N$11:$N$100,"&gt;0")</f>
        <v>0</v>
      </c>
      <c r="D13" s="79">
        <f>COUNTIFS(Damage!$B$11:$B$100,Metric21!$A13,Damage!$A$11:$A$100,20,Damage!$N$11:$N$100,"&gt;0")</f>
        <v>0</v>
      </c>
      <c r="E13" s="79">
        <v>0</v>
      </c>
      <c r="F13" s="80">
        <f>$E$9*E13</f>
        <v>0</v>
      </c>
      <c r="G13" s="80">
        <f>(0.5)*(E13-D13)*($D$9-$E$9)</f>
        <v>0</v>
      </c>
      <c r="H13" s="80">
        <f>(D13)*($D$9-$E$9)</f>
        <v>0</v>
      </c>
      <c r="I13" s="80">
        <f>(0.5)*($C$9-$D$9)*(D13-C13)</f>
        <v>0</v>
      </c>
      <c r="J13" s="80">
        <f>($C$9-$D$9)*C13</f>
        <v>0</v>
      </c>
      <c r="K13" s="80">
        <f>SUM(F13:J13)</f>
        <v>0</v>
      </c>
      <c r="L13" s="79">
        <f>COUNTIFS(Damage!$B$11:$B$100,Metric21!$A13,Damage!$A$11:$A$100,2,Damage!$O$11:$O$100,"&gt;0")</f>
        <v>0</v>
      </c>
      <c r="M13" s="79">
        <f>COUNTIFS(Damage!$B$11:$B$100,Metric21!$A13,Damage!$A$11:$A$100,20,Damage!$O$11:$O$100,"&gt;0")</f>
        <v>0</v>
      </c>
      <c r="N13" s="79">
        <v>0</v>
      </c>
      <c r="O13" s="80">
        <f>$E$9*N13</f>
        <v>0</v>
      </c>
      <c r="P13" s="80">
        <f>(0.5)*(N13-M13)*($D$9-$E$9)</f>
        <v>0</v>
      </c>
      <c r="Q13" s="80">
        <f>(M13)*($D$9-$E$9)</f>
        <v>0</v>
      </c>
      <c r="R13" s="80">
        <f>(0.5)*($C$9-$D$9)*(M13-L13)</f>
        <v>0</v>
      </c>
      <c r="S13" s="80">
        <f>($C$9-$D$9)*L13</f>
        <v>0</v>
      </c>
      <c r="T13" s="80">
        <f>SUM(O13:S13)</f>
        <v>0</v>
      </c>
    </row>
    <row r="14" spans="1:20" x14ac:dyDescent="0.25">
      <c r="A14" s="81"/>
      <c r="B14" s="94"/>
      <c r="C14" s="95"/>
      <c r="D14" s="95"/>
      <c r="E14" s="95"/>
      <c r="F14" s="81"/>
      <c r="G14" s="81"/>
      <c r="H14" s="81"/>
      <c r="I14" s="81"/>
      <c r="J14" s="81"/>
      <c r="K14" s="81"/>
      <c r="L14" s="95"/>
      <c r="M14" s="95"/>
      <c r="N14" s="95"/>
      <c r="O14" s="81"/>
      <c r="P14" s="81"/>
      <c r="Q14" s="81"/>
      <c r="R14" s="81"/>
      <c r="S14" s="81"/>
      <c r="T14" s="81"/>
    </row>
    <row r="15" spans="1:20" x14ac:dyDescent="0.25">
      <c r="A15" s="83" t="s">
        <v>307</v>
      </c>
      <c r="B15" s="93">
        <v>2</v>
      </c>
      <c r="C15" s="79">
        <v>0</v>
      </c>
      <c r="D15" s="79">
        <v>0</v>
      </c>
      <c r="E15" s="79">
        <v>0</v>
      </c>
      <c r="F15" s="80">
        <f t="shared" ref="F15:F19" si="0">$E$9*E15</f>
        <v>0</v>
      </c>
      <c r="G15" s="80">
        <f t="shared" ref="G15:G19" si="1">(0.5)*(E15-D15)*($D$9-$E$9)</f>
        <v>0</v>
      </c>
      <c r="H15" s="80">
        <f t="shared" ref="H15:H19" si="2">(D15)*($D$9-$E$9)</f>
        <v>0</v>
      </c>
      <c r="I15" s="80">
        <f t="shared" ref="I15:I19" si="3">(0.5)*($C$9-$D$9)*(D15-C15)</f>
        <v>0</v>
      </c>
      <c r="J15" s="80">
        <f t="shared" ref="J15:J19" si="4">($C$9-$D$9)*C15</f>
        <v>0</v>
      </c>
      <c r="K15" s="80">
        <f t="shared" ref="K15:K19" si="5">SUM(F15:J15)</f>
        <v>0</v>
      </c>
      <c r="L15" s="79">
        <f>COUNTIFS(Damage!$B$11:$B$100,Metric21!$A15,Damage!$A$11:$A$100,2,Damage!$O$11:$O$100,"&gt;0")</f>
        <v>0</v>
      </c>
      <c r="M15" s="79">
        <v>0</v>
      </c>
      <c r="N15" s="79">
        <v>0</v>
      </c>
      <c r="O15" s="80">
        <f t="shared" ref="O15:O19" si="6">$E$9*N15</f>
        <v>0</v>
      </c>
      <c r="P15" s="80">
        <f t="shared" ref="P15:P19" si="7">(0.5)*(N15-M15)*($D$9-$E$9)</f>
        <v>0</v>
      </c>
      <c r="Q15" s="80">
        <f t="shared" ref="Q15:Q19" si="8">(M15)*($D$9-$E$9)</f>
        <v>0</v>
      </c>
      <c r="R15" s="80">
        <f t="shared" ref="R15:R19" si="9">(0.5)*($C$9-$D$9)*(M15-L15)</f>
        <v>0</v>
      </c>
      <c r="S15" s="80">
        <f t="shared" ref="S15:S19" si="10">($C$9-$D$9)*L15</f>
        <v>0</v>
      </c>
      <c r="T15" s="80">
        <f t="shared" ref="T15:T19" si="11">SUM(O15:S15)</f>
        <v>0</v>
      </c>
    </row>
    <row r="16" spans="1:20" x14ac:dyDescent="0.25">
      <c r="A16" s="81" t="s">
        <v>301</v>
      </c>
      <c r="B16" s="94">
        <v>3</v>
      </c>
      <c r="C16" s="95">
        <v>0</v>
      </c>
      <c r="D16" s="95">
        <v>0</v>
      </c>
      <c r="E16" s="95">
        <v>0</v>
      </c>
      <c r="F16" s="81">
        <f t="shared" si="0"/>
        <v>0</v>
      </c>
      <c r="G16" s="81">
        <f t="shared" si="1"/>
        <v>0</v>
      </c>
      <c r="H16" s="81">
        <f t="shared" si="2"/>
        <v>0</v>
      </c>
      <c r="I16" s="81">
        <f t="shared" si="3"/>
        <v>0</v>
      </c>
      <c r="J16" s="81">
        <f t="shared" si="4"/>
        <v>0</v>
      </c>
      <c r="K16" s="81">
        <f t="shared" si="5"/>
        <v>0</v>
      </c>
      <c r="L16" s="95">
        <v>0</v>
      </c>
      <c r="M16" s="95">
        <v>0</v>
      </c>
      <c r="N16" s="95">
        <v>0</v>
      </c>
      <c r="O16" s="81">
        <f t="shared" si="6"/>
        <v>0</v>
      </c>
      <c r="P16" s="81">
        <f t="shared" si="7"/>
        <v>0</v>
      </c>
      <c r="Q16" s="81">
        <f t="shared" si="8"/>
        <v>0</v>
      </c>
      <c r="R16" s="81">
        <f t="shared" si="9"/>
        <v>0</v>
      </c>
      <c r="S16" s="81">
        <f t="shared" si="10"/>
        <v>0</v>
      </c>
      <c r="T16" s="81">
        <f t="shared" si="11"/>
        <v>0</v>
      </c>
    </row>
    <row r="17" spans="1:20" x14ac:dyDescent="0.25">
      <c r="A17" s="97" t="s">
        <v>306</v>
      </c>
      <c r="B17" s="98">
        <v>1</v>
      </c>
      <c r="C17" s="79">
        <v>0</v>
      </c>
      <c r="D17" s="79">
        <v>0</v>
      </c>
      <c r="E17" s="79">
        <v>0</v>
      </c>
      <c r="F17" s="83">
        <f t="shared" si="0"/>
        <v>0</v>
      </c>
      <c r="G17" s="83">
        <f t="shared" si="1"/>
        <v>0</v>
      </c>
      <c r="H17" s="83">
        <f t="shared" si="2"/>
        <v>0</v>
      </c>
      <c r="I17" s="83">
        <f t="shared" si="3"/>
        <v>0</v>
      </c>
      <c r="J17" s="83">
        <f t="shared" si="4"/>
        <v>0</v>
      </c>
      <c r="K17" s="83">
        <f t="shared" si="5"/>
        <v>0</v>
      </c>
      <c r="L17" s="79">
        <v>0</v>
      </c>
      <c r="M17" s="79">
        <v>0</v>
      </c>
      <c r="N17" s="79">
        <v>0</v>
      </c>
      <c r="O17" s="83">
        <f t="shared" si="6"/>
        <v>0</v>
      </c>
      <c r="P17" s="83">
        <f t="shared" si="7"/>
        <v>0</v>
      </c>
      <c r="Q17" s="83">
        <f t="shared" si="8"/>
        <v>0</v>
      </c>
      <c r="R17" s="83">
        <f t="shared" si="9"/>
        <v>0</v>
      </c>
      <c r="S17" s="83">
        <f t="shared" si="10"/>
        <v>0</v>
      </c>
      <c r="T17" s="83">
        <f t="shared" si="11"/>
        <v>0</v>
      </c>
    </row>
    <row r="18" spans="1:20" x14ac:dyDescent="0.25">
      <c r="A18" s="81" t="s">
        <v>300</v>
      </c>
      <c r="B18" s="96">
        <v>1</v>
      </c>
      <c r="C18" s="81">
        <v>0</v>
      </c>
      <c r="D18" s="81">
        <v>0</v>
      </c>
      <c r="E18" s="81">
        <v>0</v>
      </c>
      <c r="F18" s="81">
        <f t="shared" si="0"/>
        <v>0</v>
      </c>
      <c r="G18" s="81">
        <f t="shared" si="1"/>
        <v>0</v>
      </c>
      <c r="H18" s="81">
        <f t="shared" si="2"/>
        <v>0</v>
      </c>
      <c r="I18" s="81">
        <f t="shared" si="3"/>
        <v>0</v>
      </c>
      <c r="J18" s="81">
        <f t="shared" si="4"/>
        <v>0</v>
      </c>
      <c r="K18" s="81">
        <f t="shared" si="5"/>
        <v>0</v>
      </c>
      <c r="L18" s="81">
        <v>0</v>
      </c>
      <c r="M18" s="81">
        <v>0</v>
      </c>
      <c r="N18" s="81">
        <v>0</v>
      </c>
      <c r="O18" s="81">
        <f t="shared" si="6"/>
        <v>0</v>
      </c>
      <c r="P18" s="81">
        <f t="shared" si="7"/>
        <v>0</v>
      </c>
      <c r="Q18" s="81">
        <f t="shared" si="8"/>
        <v>0</v>
      </c>
      <c r="R18" s="81">
        <f t="shared" si="9"/>
        <v>0</v>
      </c>
      <c r="S18" s="81">
        <f t="shared" si="10"/>
        <v>0</v>
      </c>
      <c r="T18" s="81">
        <f t="shared" si="11"/>
        <v>0</v>
      </c>
    </row>
    <row r="19" spans="1:20" x14ac:dyDescent="0.25">
      <c r="A19" s="83" t="s">
        <v>304</v>
      </c>
      <c r="B19" s="93">
        <v>1</v>
      </c>
      <c r="C19" s="79">
        <v>0</v>
      </c>
      <c r="D19" s="79">
        <v>0</v>
      </c>
      <c r="E19" s="79">
        <v>0</v>
      </c>
      <c r="F19" s="80">
        <f t="shared" si="0"/>
        <v>0</v>
      </c>
      <c r="G19" s="80">
        <f t="shared" si="1"/>
        <v>0</v>
      </c>
      <c r="H19" s="80">
        <f t="shared" si="2"/>
        <v>0</v>
      </c>
      <c r="I19" s="80">
        <f t="shared" si="3"/>
        <v>0</v>
      </c>
      <c r="J19" s="80">
        <f t="shared" si="4"/>
        <v>0</v>
      </c>
      <c r="K19" s="80">
        <f t="shared" si="5"/>
        <v>0</v>
      </c>
      <c r="L19" s="79">
        <v>0</v>
      </c>
      <c r="M19" s="79">
        <v>0</v>
      </c>
      <c r="N19" s="79">
        <v>0</v>
      </c>
      <c r="O19" s="80">
        <f t="shared" si="6"/>
        <v>0</v>
      </c>
      <c r="P19" s="80">
        <f t="shared" si="7"/>
        <v>0</v>
      </c>
      <c r="Q19" s="80">
        <f t="shared" si="8"/>
        <v>0</v>
      </c>
      <c r="R19" s="80">
        <f t="shared" si="9"/>
        <v>0</v>
      </c>
      <c r="S19" s="80">
        <f t="shared" si="10"/>
        <v>0</v>
      </c>
      <c r="T19" s="80">
        <f t="shared" si="11"/>
        <v>0</v>
      </c>
    </row>
    <row r="20" spans="1:20" x14ac:dyDescent="0.25">
      <c r="A20" s="81"/>
      <c r="B20" s="81"/>
      <c r="C20" s="81"/>
      <c r="D20" s="81"/>
      <c r="E20" s="81"/>
      <c r="F20" s="81"/>
      <c r="G20" s="81"/>
      <c r="H20" s="81"/>
      <c r="I20" s="81"/>
      <c r="J20" s="81"/>
      <c r="K20" s="81"/>
      <c r="L20" s="81"/>
      <c r="M20" s="81"/>
      <c r="N20" s="81"/>
      <c r="O20" s="81"/>
      <c r="P20" s="81"/>
      <c r="Q20" s="81"/>
      <c r="R20" s="81"/>
      <c r="S20" s="81"/>
      <c r="T20" s="81"/>
    </row>
    <row r="21" spans="1:20" x14ac:dyDescent="0.25">
      <c r="A21" s="81"/>
      <c r="B21" s="92"/>
      <c r="C21" s="95"/>
      <c r="D21" s="95"/>
      <c r="E21" s="95"/>
      <c r="F21" s="92"/>
      <c r="G21" s="92"/>
      <c r="H21" s="92"/>
      <c r="I21" s="92"/>
      <c r="J21" s="92"/>
      <c r="K21" s="92"/>
      <c r="L21" s="95"/>
      <c r="M21" s="95"/>
      <c r="N21" s="95"/>
      <c r="O21" s="92"/>
      <c r="P21" s="92"/>
      <c r="Q21" s="92"/>
      <c r="R21" s="92"/>
      <c r="S21" s="92"/>
      <c r="T21" s="92"/>
    </row>
    <row r="22" spans="1:20" x14ac:dyDescent="0.25">
      <c r="A22" s="81"/>
      <c r="B22" s="81"/>
      <c r="C22" s="81"/>
      <c r="D22" s="81"/>
      <c r="E22" s="81"/>
      <c r="F22" s="81"/>
      <c r="G22" s="81"/>
      <c r="H22" s="81"/>
      <c r="I22" s="81"/>
      <c r="J22" s="81"/>
      <c r="K22" s="81"/>
      <c r="L22" s="81"/>
      <c r="M22" s="81"/>
      <c r="N22" s="81"/>
      <c r="O22" s="81"/>
      <c r="P22" s="81"/>
      <c r="Q22" s="81"/>
      <c r="R22" s="81"/>
      <c r="S22" s="81"/>
      <c r="T22" s="81"/>
    </row>
    <row r="23" spans="1:20" x14ac:dyDescent="0.25">
      <c r="A23" s="81"/>
      <c r="B23" s="92"/>
      <c r="C23" s="95"/>
      <c r="D23" s="95"/>
      <c r="E23" s="95"/>
      <c r="F23" s="92"/>
      <c r="G23" s="92"/>
      <c r="H23" s="92"/>
      <c r="I23" s="92"/>
      <c r="J23" s="92"/>
      <c r="K23" s="92"/>
      <c r="L23" s="95"/>
      <c r="M23" s="95"/>
      <c r="N23" s="95"/>
      <c r="O23" s="92"/>
      <c r="P23" s="92"/>
      <c r="Q23" s="92"/>
      <c r="R23" s="92"/>
      <c r="S23" s="92"/>
      <c r="T23" s="92"/>
    </row>
    <row r="24" spans="1:20" x14ac:dyDescent="0.25">
      <c r="A24" s="78"/>
      <c r="B24" s="78"/>
      <c r="C24" s="82"/>
      <c r="D24" s="82"/>
      <c r="E24" s="82"/>
      <c r="F24" s="82"/>
      <c r="G24" s="82"/>
      <c r="H24" s="82"/>
      <c r="I24" s="82"/>
      <c r="J24" s="82"/>
      <c r="K24" s="82"/>
      <c r="L24" s="82"/>
      <c r="M24" s="82"/>
      <c r="N24" s="82"/>
      <c r="O24" s="82"/>
      <c r="P24" s="82"/>
      <c r="Q24" s="82"/>
      <c r="R24" s="82"/>
      <c r="S24" s="82"/>
      <c r="T24" s="82"/>
    </row>
    <row r="25" spans="1:20" x14ac:dyDescent="0.25">
      <c r="A25" s="82"/>
      <c r="B25" s="82"/>
      <c r="C25" s="82"/>
      <c r="D25" s="82"/>
      <c r="E25" s="82"/>
      <c r="F25" s="82"/>
      <c r="G25" s="82"/>
      <c r="H25" s="82"/>
      <c r="I25" s="82"/>
      <c r="J25" s="82"/>
      <c r="K25" s="82"/>
      <c r="L25" s="82"/>
      <c r="M25" s="82"/>
      <c r="N25" s="82"/>
      <c r="O25" s="82"/>
      <c r="P25" s="82"/>
      <c r="Q25" s="82"/>
      <c r="R25" s="82"/>
      <c r="S25" s="82"/>
      <c r="T25" s="82"/>
    </row>
    <row r="26" spans="1:20" x14ac:dyDescent="0.25">
      <c r="A26" s="82"/>
      <c r="B26" s="82"/>
      <c r="C26" s="82"/>
      <c r="D26" s="82"/>
      <c r="E26" s="82"/>
      <c r="F26" s="82"/>
      <c r="G26" s="82"/>
      <c r="H26" s="82"/>
      <c r="I26" s="82"/>
      <c r="J26" s="82"/>
      <c r="K26" s="82"/>
      <c r="L26" s="82"/>
      <c r="M26" s="82"/>
      <c r="N26" s="82"/>
      <c r="O26" s="82"/>
      <c r="P26" s="82"/>
      <c r="Q26" s="82"/>
      <c r="R26" s="82"/>
      <c r="S26" s="82"/>
      <c r="T26" s="82"/>
    </row>
    <row r="27" spans="1:20" x14ac:dyDescent="0.25">
      <c r="A27" s="82"/>
      <c r="B27" s="82"/>
      <c r="C27" s="82"/>
      <c r="D27" s="82"/>
      <c r="E27" s="82"/>
      <c r="F27" s="82"/>
      <c r="G27" s="82"/>
      <c r="H27" s="82"/>
      <c r="I27" s="82"/>
      <c r="J27" s="82"/>
      <c r="K27" s="82"/>
      <c r="L27" s="82"/>
      <c r="M27" s="82"/>
      <c r="N27" s="82"/>
      <c r="O27" s="82"/>
      <c r="P27" s="82"/>
      <c r="Q27" s="82"/>
      <c r="R27" s="82"/>
      <c r="S27" s="82"/>
      <c r="T27" s="82"/>
    </row>
    <row r="28" spans="1:20" x14ac:dyDescent="0.25">
      <c r="A28" s="82"/>
      <c r="B28" s="82"/>
      <c r="C28" s="82"/>
      <c r="D28" s="82"/>
      <c r="E28" s="82"/>
      <c r="F28" s="82"/>
      <c r="G28" s="82"/>
      <c r="H28" s="82"/>
      <c r="I28" s="82"/>
      <c r="J28" s="82"/>
      <c r="K28" s="82"/>
      <c r="L28" s="82"/>
      <c r="M28" s="82"/>
      <c r="N28" s="82"/>
      <c r="O28" s="82"/>
      <c r="P28" s="82"/>
      <c r="Q28" s="82"/>
      <c r="R28" s="82"/>
      <c r="S28" s="82"/>
      <c r="T28" s="82"/>
    </row>
    <row r="29" spans="1:20" x14ac:dyDescent="0.25">
      <c r="A29" s="82"/>
      <c r="B29" s="82"/>
      <c r="C29" s="82"/>
      <c r="D29" s="82"/>
      <c r="E29" s="82"/>
      <c r="F29" s="82"/>
      <c r="G29" s="82"/>
      <c r="H29" s="82"/>
      <c r="I29" s="82"/>
      <c r="J29" s="82"/>
      <c r="K29" s="82"/>
      <c r="L29" s="82"/>
      <c r="M29" s="82"/>
      <c r="N29" s="82"/>
      <c r="O29" s="82"/>
      <c r="P29" s="82"/>
      <c r="Q29" s="82"/>
      <c r="R29" s="82"/>
      <c r="S29" s="82"/>
      <c r="T29" s="82"/>
    </row>
    <row r="30" spans="1:20" x14ac:dyDescent="0.25">
      <c r="A30" s="82"/>
      <c r="B30" s="82"/>
      <c r="C30" s="82"/>
      <c r="D30" s="82"/>
      <c r="E30" s="82"/>
      <c r="F30" s="82"/>
      <c r="G30" s="82"/>
      <c r="H30" s="82"/>
      <c r="I30" s="82"/>
      <c r="J30" s="82"/>
      <c r="K30" s="82"/>
      <c r="L30" s="82"/>
      <c r="M30" s="82"/>
      <c r="N30" s="82"/>
      <c r="O30" s="82"/>
      <c r="P30" s="82"/>
      <c r="Q30" s="82"/>
      <c r="R30" s="82"/>
      <c r="S30" s="82"/>
      <c r="T30" s="82"/>
    </row>
    <row r="31" spans="1:20" x14ac:dyDescent="0.25">
      <c r="A31" s="82"/>
      <c r="B31" s="82"/>
      <c r="C31" s="82"/>
      <c r="D31" s="82"/>
      <c r="E31" s="82"/>
      <c r="F31" s="82"/>
      <c r="G31" s="82"/>
      <c r="H31" s="82"/>
      <c r="I31" s="82"/>
      <c r="J31" s="82"/>
      <c r="K31" s="82"/>
      <c r="L31" s="82"/>
      <c r="M31" s="82"/>
      <c r="N31" s="82"/>
      <c r="O31" s="82"/>
      <c r="P31" s="82"/>
      <c r="Q31" s="82"/>
      <c r="R31" s="82"/>
      <c r="S31" s="82"/>
      <c r="T31" s="82"/>
    </row>
  </sheetData>
  <mergeCells count="6">
    <mergeCell ref="C8:K8"/>
    <mergeCell ref="L8:T8"/>
    <mergeCell ref="F9:J9"/>
    <mergeCell ref="K9:K10"/>
    <mergeCell ref="O9:S9"/>
    <mergeCell ref="T9:T10"/>
  </mergeCells>
  <pageMargins left="0.7" right="0.7" top="0.75" bottom="0.75" header="0.3" footer="0.3"/>
  <pageSetup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59"/>
  <sheetViews>
    <sheetView workbookViewId="0">
      <selection activeCell="B5" sqref="B5"/>
    </sheetView>
  </sheetViews>
  <sheetFormatPr defaultRowHeight="15" x14ac:dyDescent="0.25"/>
  <cols>
    <col min="1" max="1" width="10.85546875" customWidth="1"/>
    <col min="5" max="5" width="12.42578125" customWidth="1"/>
    <col min="9" max="9" width="17.28515625" customWidth="1"/>
  </cols>
  <sheetData>
    <row r="1" spans="1:12" x14ac:dyDescent="0.25">
      <c r="A1" t="s">
        <v>38</v>
      </c>
      <c r="H1" s="6" t="s">
        <v>51</v>
      </c>
      <c r="I1" s="7"/>
      <c r="K1" t="s">
        <v>105</v>
      </c>
    </row>
    <row r="2" spans="1:12" x14ac:dyDescent="0.25">
      <c r="H2" s="8" t="s">
        <v>19</v>
      </c>
      <c r="I2" s="9" t="s">
        <v>52</v>
      </c>
      <c r="K2" t="s">
        <v>0</v>
      </c>
      <c r="L2" t="s">
        <v>106</v>
      </c>
    </row>
    <row r="3" spans="1:12" x14ac:dyDescent="0.25">
      <c r="H3" s="10">
        <v>1964</v>
      </c>
      <c r="I3" s="11">
        <v>11.44375</v>
      </c>
      <c r="K3" t="s">
        <v>92</v>
      </c>
      <c r="L3" t="s">
        <v>106</v>
      </c>
    </row>
    <row r="4" spans="1:12" x14ac:dyDescent="0.25">
      <c r="B4" s="4">
        <v>1</v>
      </c>
      <c r="C4" s="4" t="s">
        <v>36</v>
      </c>
      <c r="H4" s="10">
        <v>1965</v>
      </c>
      <c r="I4" s="11">
        <v>11.074596774193546</v>
      </c>
      <c r="K4" t="s">
        <v>109</v>
      </c>
      <c r="L4" t="s">
        <v>106</v>
      </c>
    </row>
    <row r="5" spans="1:12" x14ac:dyDescent="0.25">
      <c r="B5" s="4">
        <v>3.28084</v>
      </c>
      <c r="C5" s="4" t="s">
        <v>37</v>
      </c>
      <c r="H5" s="10">
        <v>1966</v>
      </c>
      <c r="I5" s="11">
        <v>10.563461538461537</v>
      </c>
      <c r="K5" t="s">
        <v>110</v>
      </c>
      <c r="L5" t="s">
        <v>106</v>
      </c>
    </row>
    <row r="6" spans="1:12" x14ac:dyDescent="0.25">
      <c r="H6" s="10">
        <v>1967</v>
      </c>
      <c r="I6" s="11">
        <v>10.248134328358208</v>
      </c>
      <c r="K6" t="s">
        <v>111</v>
      </c>
      <c r="L6" t="s">
        <v>106</v>
      </c>
    </row>
    <row r="7" spans="1:12" x14ac:dyDescent="0.25">
      <c r="H7" s="10">
        <v>1968</v>
      </c>
      <c r="I7" s="11">
        <v>9.7393617021276597</v>
      </c>
      <c r="K7" t="s">
        <v>112</v>
      </c>
      <c r="L7" t="s">
        <v>106</v>
      </c>
    </row>
    <row r="8" spans="1:12" x14ac:dyDescent="0.25">
      <c r="H8" s="10">
        <v>1969</v>
      </c>
      <c r="I8" s="11">
        <v>9.1549999999999994</v>
      </c>
      <c r="K8" t="s">
        <v>113</v>
      </c>
      <c r="L8" t="s">
        <v>106</v>
      </c>
    </row>
    <row r="9" spans="1:12" x14ac:dyDescent="0.25">
      <c r="H9" s="10">
        <v>1970</v>
      </c>
      <c r="I9" s="11">
        <v>8.9172077922077921</v>
      </c>
      <c r="K9" t="s">
        <v>114</v>
      </c>
      <c r="L9" t="s">
        <v>106</v>
      </c>
    </row>
    <row r="10" spans="1:12" x14ac:dyDescent="0.25">
      <c r="H10" s="10">
        <v>1971</v>
      </c>
      <c r="I10" s="11">
        <v>8.4248466257668699</v>
      </c>
      <c r="K10" t="s">
        <v>115</v>
      </c>
      <c r="L10" t="s">
        <v>106</v>
      </c>
    </row>
    <row r="11" spans="1:12" x14ac:dyDescent="0.25">
      <c r="H11" s="10">
        <v>1972</v>
      </c>
      <c r="I11" s="11">
        <v>7.8471428571428561</v>
      </c>
      <c r="K11" t="s">
        <v>116</v>
      </c>
      <c r="L11" t="s">
        <v>106</v>
      </c>
    </row>
    <row r="12" spans="1:12" x14ac:dyDescent="0.25">
      <c r="H12" s="10">
        <v>1973</v>
      </c>
      <c r="I12" s="11">
        <v>7.1897905759162288</v>
      </c>
      <c r="K12" t="s">
        <v>117</v>
      </c>
      <c r="L12" t="s">
        <v>106</v>
      </c>
    </row>
    <row r="13" spans="1:12" x14ac:dyDescent="0.25">
      <c r="H13" s="10">
        <v>1974</v>
      </c>
      <c r="I13" s="11">
        <v>6.5082938388625582</v>
      </c>
      <c r="K13" t="s">
        <v>118</v>
      </c>
      <c r="L13" t="s">
        <v>107</v>
      </c>
    </row>
    <row r="14" spans="1:12" x14ac:dyDescent="0.25">
      <c r="H14" s="10">
        <v>1975</v>
      </c>
      <c r="I14" s="11">
        <v>5.996724890829694</v>
      </c>
      <c r="K14" t="s">
        <v>119</v>
      </c>
      <c r="L14" t="s">
        <v>107</v>
      </c>
    </row>
    <row r="15" spans="1:12" x14ac:dyDescent="0.25">
      <c r="H15" s="10">
        <v>1976</v>
      </c>
      <c r="I15" s="11">
        <v>5.6280737704918034</v>
      </c>
      <c r="K15" t="s">
        <v>120</v>
      </c>
      <c r="L15" t="s">
        <v>107</v>
      </c>
    </row>
    <row r="16" spans="1:12" x14ac:dyDescent="0.25">
      <c r="H16" s="10">
        <v>1977</v>
      </c>
      <c r="I16" s="11">
        <v>5.0861111111111104</v>
      </c>
      <c r="K16" t="s">
        <v>121</v>
      </c>
      <c r="L16" t="s">
        <v>107</v>
      </c>
    </row>
    <row r="17" spans="8:12" x14ac:dyDescent="0.25">
      <c r="H17" s="10">
        <v>1978</v>
      </c>
      <c r="I17" s="11">
        <v>4.4877450980392153</v>
      </c>
      <c r="K17" t="s">
        <v>122</v>
      </c>
      <c r="L17" t="s">
        <v>107</v>
      </c>
    </row>
    <row r="18" spans="8:12" x14ac:dyDescent="0.25">
      <c r="H18" s="10">
        <v>1979</v>
      </c>
      <c r="I18" s="11">
        <v>4.0036443148688043</v>
      </c>
      <c r="K18" t="s">
        <v>123</v>
      </c>
      <c r="L18" t="s">
        <v>107</v>
      </c>
    </row>
    <row r="19" spans="8:12" x14ac:dyDescent="0.25">
      <c r="H19" s="10">
        <v>1980</v>
      </c>
      <c r="I19" s="11">
        <v>3.6233509234828496</v>
      </c>
      <c r="K19" t="s">
        <v>124</v>
      </c>
      <c r="L19" t="s">
        <v>107</v>
      </c>
    </row>
    <row r="20" spans="8:12" x14ac:dyDescent="0.25">
      <c r="H20" s="10">
        <v>1981</v>
      </c>
      <c r="I20" s="11">
        <v>3.3907407407407404</v>
      </c>
      <c r="K20" t="s">
        <v>125</v>
      </c>
      <c r="L20" t="s">
        <v>107</v>
      </c>
    </row>
    <row r="21" spans="8:12" x14ac:dyDescent="0.25">
      <c r="H21" s="10">
        <v>1982</v>
      </c>
      <c r="I21" s="11">
        <v>3.2931654676258986</v>
      </c>
      <c r="K21" t="s">
        <v>126</v>
      </c>
      <c r="L21" t="s">
        <v>107</v>
      </c>
    </row>
    <row r="22" spans="8:12" x14ac:dyDescent="0.25">
      <c r="H22" s="10">
        <v>1983</v>
      </c>
      <c r="I22" s="11">
        <v>3.2010489510489508</v>
      </c>
      <c r="K22" t="s">
        <v>127</v>
      </c>
      <c r="L22" t="s">
        <v>107</v>
      </c>
    </row>
    <row r="23" spans="8:12" x14ac:dyDescent="0.25">
      <c r="H23" s="10">
        <v>1984</v>
      </c>
      <c r="I23" s="11">
        <v>3.0859550561797748</v>
      </c>
      <c r="K23" t="s">
        <v>128</v>
      </c>
      <c r="L23" t="s">
        <v>107</v>
      </c>
    </row>
    <row r="24" spans="8:12" ht="15" customHeight="1" x14ac:dyDescent="0.25">
      <c r="H24" s="10">
        <v>1985</v>
      </c>
      <c r="I24" s="11">
        <v>3.0247797356828192</v>
      </c>
      <c r="K24" t="s">
        <v>129</v>
      </c>
      <c r="L24" t="s">
        <v>107</v>
      </c>
    </row>
    <row r="25" spans="8:12" x14ac:dyDescent="0.25">
      <c r="H25" s="10">
        <v>1986</v>
      </c>
      <c r="I25" s="11">
        <v>2.8971518987341769</v>
      </c>
      <c r="K25" t="s">
        <v>130</v>
      </c>
      <c r="L25" t="s">
        <v>107</v>
      </c>
    </row>
    <row r="26" spans="8:12" x14ac:dyDescent="0.25">
      <c r="H26" s="10">
        <v>1987</v>
      </c>
      <c r="I26" s="11">
        <v>2.7686491935483866</v>
      </c>
      <c r="K26" t="s">
        <v>131</v>
      </c>
      <c r="L26" t="s">
        <v>107</v>
      </c>
    </row>
    <row r="27" spans="8:12" x14ac:dyDescent="0.25">
      <c r="H27" s="10">
        <v>1988</v>
      </c>
      <c r="I27" s="11">
        <v>2.6613372093023253</v>
      </c>
      <c r="K27" t="s">
        <v>132</v>
      </c>
      <c r="L27" t="s">
        <v>107</v>
      </c>
    </row>
    <row r="28" spans="8:12" x14ac:dyDescent="0.25">
      <c r="H28" s="10">
        <v>1989</v>
      </c>
      <c r="I28" s="11">
        <v>2.5572625698324019</v>
      </c>
      <c r="K28" t="s">
        <v>133</v>
      </c>
      <c r="L28" t="s">
        <v>107</v>
      </c>
    </row>
    <row r="29" spans="8:12" x14ac:dyDescent="0.25">
      <c r="H29" s="10">
        <v>1990</v>
      </c>
      <c r="I29" s="11">
        <v>2.4787906137184113</v>
      </c>
      <c r="K29" t="s">
        <v>134</v>
      </c>
      <c r="L29" t="s">
        <v>107</v>
      </c>
    </row>
    <row r="30" spans="8:12" x14ac:dyDescent="0.25">
      <c r="H30" s="10">
        <v>1991</v>
      </c>
      <c r="I30" s="11">
        <v>2.4566189624329158</v>
      </c>
      <c r="K30" t="s">
        <v>135</v>
      </c>
      <c r="L30" t="s">
        <v>108</v>
      </c>
    </row>
    <row r="31" spans="8:12" x14ac:dyDescent="0.25">
      <c r="H31" s="10">
        <v>1992</v>
      </c>
      <c r="I31" s="11">
        <v>2.4092105263157895</v>
      </c>
      <c r="K31" t="s">
        <v>8</v>
      </c>
      <c r="L31" t="s">
        <v>108</v>
      </c>
    </row>
    <row r="32" spans="8:12" x14ac:dyDescent="0.25">
      <c r="H32" s="10">
        <v>1993</v>
      </c>
      <c r="I32" s="11">
        <v>2.2964046822742472</v>
      </c>
      <c r="K32" t="s">
        <v>136</v>
      </c>
      <c r="L32" t="s">
        <v>108</v>
      </c>
    </row>
    <row r="33" spans="8:12" x14ac:dyDescent="0.25">
      <c r="H33" s="10">
        <v>1994</v>
      </c>
      <c r="I33" s="11">
        <v>2.1971999999999996</v>
      </c>
      <c r="K33" t="s">
        <v>137</v>
      </c>
      <c r="L33" t="s">
        <v>108</v>
      </c>
    </row>
    <row r="34" spans="8:12" x14ac:dyDescent="0.25">
      <c r="H34" s="10">
        <v>1995</v>
      </c>
      <c r="I34" s="11">
        <v>2.1062116564417175</v>
      </c>
      <c r="K34" t="s">
        <v>138</v>
      </c>
      <c r="L34" t="s">
        <v>108</v>
      </c>
    </row>
    <row r="35" spans="8:12" x14ac:dyDescent="0.25">
      <c r="H35" s="10">
        <v>1996</v>
      </c>
      <c r="I35" s="11">
        <v>2.0681475903614452</v>
      </c>
      <c r="K35" t="s">
        <v>238</v>
      </c>
      <c r="L35" t="s">
        <v>239</v>
      </c>
    </row>
    <row r="36" spans="8:12" x14ac:dyDescent="0.25">
      <c r="H36" s="10">
        <v>1997</v>
      </c>
      <c r="I36" s="11">
        <v>2.007675438596491</v>
      </c>
      <c r="K36" t="s">
        <v>238</v>
      </c>
      <c r="L36" t="s">
        <v>239</v>
      </c>
    </row>
    <row r="37" spans="8:12" x14ac:dyDescent="0.25">
      <c r="H37" s="10">
        <v>1998</v>
      </c>
      <c r="I37" s="11">
        <v>1.9561965811965809</v>
      </c>
    </row>
    <row r="38" spans="8:12" x14ac:dyDescent="0.25">
      <c r="H38" s="10">
        <v>1999</v>
      </c>
      <c r="I38" s="11">
        <v>1.8734652114597543</v>
      </c>
    </row>
    <row r="39" spans="8:12" x14ac:dyDescent="0.25">
      <c r="H39" s="10">
        <v>2000</v>
      </c>
      <c r="I39" s="11">
        <v>1.7904172099087352</v>
      </c>
    </row>
    <row r="40" spans="8:12" x14ac:dyDescent="0.25">
      <c r="H40" s="10">
        <v>2001</v>
      </c>
      <c r="I40" s="11">
        <v>1.7122817955112217</v>
      </c>
    </row>
    <row r="41" spans="8:12" x14ac:dyDescent="0.25">
      <c r="H41" s="10">
        <v>2002</v>
      </c>
      <c r="I41" s="11">
        <v>1.6726552984165652</v>
      </c>
    </row>
    <row r="42" spans="8:12" x14ac:dyDescent="0.25">
      <c r="H42" s="10">
        <v>2003</v>
      </c>
      <c r="I42" s="11">
        <v>1.5949477351916377</v>
      </c>
    </row>
    <row r="43" spans="8:12" x14ac:dyDescent="0.25">
      <c r="H43" s="10">
        <v>2004</v>
      </c>
      <c r="I43" s="11">
        <v>1.4766129032258064</v>
      </c>
    </row>
    <row r="44" spans="8:12" x14ac:dyDescent="0.25">
      <c r="H44" s="10">
        <v>2005</v>
      </c>
      <c r="I44" s="11">
        <v>1.3732499999999999</v>
      </c>
    </row>
    <row r="45" spans="8:12" x14ac:dyDescent="0.25">
      <c r="H45" s="10">
        <v>2006</v>
      </c>
      <c r="I45" s="11">
        <v>1.2930790960451977</v>
      </c>
    </row>
    <row r="46" spans="8:12" ht="15" customHeight="1" x14ac:dyDescent="0.25">
      <c r="H46" s="10">
        <v>2007</v>
      </c>
      <c r="I46" s="11">
        <v>1.2810167910447761</v>
      </c>
    </row>
    <row r="47" spans="8:12" x14ac:dyDescent="0.25">
      <c r="H47" s="10">
        <v>2008</v>
      </c>
      <c r="I47" s="11">
        <v>1.3191642651296829</v>
      </c>
    </row>
    <row r="48" spans="8:12" x14ac:dyDescent="0.25">
      <c r="H48" s="10">
        <v>2009</v>
      </c>
      <c r="I48" s="11">
        <v>1.380150753768844</v>
      </c>
    </row>
    <row r="49" spans="8:9" x14ac:dyDescent="0.25">
      <c r="H49" s="10">
        <v>2010</v>
      </c>
      <c r="I49" s="11">
        <v>1.4012755102040815</v>
      </c>
    </row>
    <row r="50" spans="8:9" x14ac:dyDescent="0.25">
      <c r="H50" s="10">
        <v>2011</v>
      </c>
      <c r="I50" s="11">
        <v>1.391337386018237</v>
      </c>
    </row>
    <row r="51" spans="8:9" x14ac:dyDescent="0.25">
      <c r="H51" s="10">
        <v>2012</v>
      </c>
      <c r="I51" s="11">
        <v>1.3773821464393179</v>
      </c>
    </row>
    <row r="52" spans="8:9" x14ac:dyDescent="0.25">
      <c r="H52" s="10">
        <v>2013</v>
      </c>
      <c r="I52" s="11">
        <v>1.3053707224334599</v>
      </c>
    </row>
    <row r="53" spans="8:9" x14ac:dyDescent="0.25">
      <c r="H53" s="10">
        <v>2014</v>
      </c>
      <c r="I53" s="11">
        <v>1.222840605520926</v>
      </c>
    </row>
    <row r="54" spans="8:9" x14ac:dyDescent="0.25">
      <c r="H54" s="10">
        <v>2015</v>
      </c>
      <c r="I54" s="11">
        <v>1.1930929626411815</v>
      </c>
    </row>
    <row r="55" spans="8:9" x14ac:dyDescent="0.25">
      <c r="H55" s="10">
        <v>2016</v>
      </c>
      <c r="I55" s="11">
        <v>1.1424708818635607</v>
      </c>
    </row>
    <row r="56" spans="8:9" x14ac:dyDescent="0.25">
      <c r="H56" s="10">
        <v>2017</v>
      </c>
      <c r="I56" s="11">
        <v>1.0950956937799041</v>
      </c>
    </row>
    <row r="57" spans="8:9" x14ac:dyDescent="0.25">
      <c r="H57" s="10">
        <v>2018</v>
      </c>
      <c r="I57" s="11">
        <v>1.0498853211009171</v>
      </c>
    </row>
    <row r="58" spans="8:9" x14ac:dyDescent="0.25">
      <c r="H58" s="10">
        <v>2019</v>
      </c>
      <c r="I58" s="11">
        <v>1.017222222222222</v>
      </c>
    </row>
    <row r="59" spans="8:9" x14ac:dyDescent="0.25">
      <c r="H59" s="12">
        <v>2020</v>
      </c>
      <c r="I59" s="13">
        <v>1</v>
      </c>
    </row>
  </sheetData>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Readme</vt:lpstr>
      <vt:lpstr>EADExample</vt:lpstr>
      <vt:lpstr>ReportOut</vt:lpstr>
      <vt:lpstr>Metric5ByProject</vt:lpstr>
      <vt:lpstr>Metric9ByProject</vt:lpstr>
      <vt:lpstr>Damage</vt:lpstr>
      <vt:lpstr>Inputs</vt:lpstr>
      <vt:lpstr>Coastal_DDF</vt:lpstr>
      <vt:lpstr>Metric11</vt:lpstr>
      <vt:lpstr>Metric21</vt:lpstr>
      <vt:lpstr>Units</vt:lpstr>
      <vt:lpstr>Btype</vt:lpstr>
      <vt:lpstr>CCI</vt:lpstr>
      <vt:lpstr>DDF</vt:lpstr>
      <vt:lpstr>DDFID</vt:lpstr>
      <vt:lpstr>mft</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Lorie</dc:creator>
  <cp:lastModifiedBy>Mark Lorie</cp:lastModifiedBy>
  <dcterms:created xsi:type="dcterms:W3CDTF">2020-07-07T14:35:17Z</dcterms:created>
  <dcterms:modified xsi:type="dcterms:W3CDTF">2020-11-19T14:38:18Z</dcterms:modified>
</cp:coreProperties>
</file>